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8"/>
  </bookViews>
  <sheets>
    <sheet name="任务1" sheetId="1" r:id="rId1"/>
    <sheet name="任务2" sheetId="2" r:id="rId2"/>
    <sheet name="任务3" sheetId="3" r:id="rId3"/>
    <sheet name="任务4" sheetId="4" r:id="rId4"/>
    <sheet name="任务4（1）" sheetId="9" r:id="rId5"/>
    <sheet name="任务5" sheetId="5" r:id="rId6"/>
    <sheet name="任务6" sheetId="6" r:id="rId7"/>
    <sheet name="任务7" sheetId="7" r:id="rId8"/>
    <sheet name="任务8" sheetId="8" r:id="rId9"/>
  </sheets>
  <calcPr calcId="144525"/>
</workbook>
</file>

<file path=xl/sharedStrings.xml><?xml version="1.0" encoding="utf-8"?>
<sst xmlns="http://schemas.openxmlformats.org/spreadsheetml/2006/main" count="565" uniqueCount="307">
  <si>
    <t>1.财务部现有三种产品的本量利分析</t>
  </si>
  <si>
    <t>产品</t>
  </si>
  <si>
    <t>单价</t>
  </si>
  <si>
    <t>单位变动生产成本</t>
  </si>
  <si>
    <t>单位变动期间费用</t>
  </si>
  <si>
    <t>单位变动成本合计</t>
  </si>
  <si>
    <t>单位边际贡献</t>
  </si>
  <si>
    <t>固定制造成本</t>
  </si>
  <si>
    <t>固定期间成本</t>
  </si>
  <si>
    <t>固定成本合计</t>
  </si>
  <si>
    <t>保本点</t>
  </si>
  <si>
    <t>销售量</t>
  </si>
  <si>
    <t>安全边际量</t>
  </si>
  <si>
    <t>安全边际率</t>
  </si>
  <si>
    <t>凸模/套</t>
  </si>
  <si>
    <t>导正销/套</t>
  </si>
  <si>
    <t>模架用导向组件/套</t>
  </si>
  <si>
    <t>销售部单位毛利分析保本分析方法，分析结果不准确。因为单位毛利=售价-单位成本（直接材料+直接人工+单位变动制造费用+单位固定制造费用）</t>
  </si>
  <si>
    <t>其中，单位固定制造费用是随着产品产量不同而变化的，不是一个稳定的数值。</t>
  </si>
  <si>
    <t>2.前期投入的成本是沉没成本，是当前决策的无关成本。两者决策分歧的根本原因是在进行相关损益分析过程中，考虑成本不同。它警示我们在相关损益决策分析过程中，必须分清相关和无关成本，不能把无关成本考虑进来。</t>
  </si>
  <si>
    <t>3.张芳的观点是正确的。毛利率用到了毛利的概念，在前面的分析中提到，毛利是一个数值不确定的概念，会随着产品的数量变化而变化。</t>
  </si>
  <si>
    <t>4.翅片模项目分析</t>
  </si>
  <si>
    <t>各种产品变动信息表</t>
  </si>
  <si>
    <t>产品组件</t>
  </si>
  <si>
    <t>单位变动成本（元）</t>
  </si>
  <si>
    <t>翅片模组件构成</t>
  </si>
  <si>
    <t>每套翅片模组件单位变动成本</t>
  </si>
  <si>
    <t>成本项目</t>
  </si>
  <si>
    <t>翅片模冲头/组</t>
  </si>
  <si>
    <t>百叶窗切刃/支</t>
  </si>
  <si>
    <t>超硬磨具部件/支</t>
  </si>
  <si>
    <t>单位变动成本</t>
  </si>
  <si>
    <t>直接材料</t>
  </si>
  <si>
    <t>直接人工</t>
  </si>
  <si>
    <t>合计</t>
  </si>
  <si>
    <t>热处理费</t>
  </si>
  <si>
    <t>专属固定成本分析</t>
  </si>
  <si>
    <t>加工费</t>
  </si>
  <si>
    <t>项目</t>
  </si>
  <si>
    <t>数量</t>
  </si>
  <si>
    <t>单位租金（工资）/月</t>
  </si>
  <si>
    <t>变动管理费用</t>
  </si>
  <si>
    <t>租用内孔磨床</t>
  </si>
  <si>
    <t>雇佣工人</t>
  </si>
  <si>
    <t>二车间每月固定成本</t>
  </si>
  <si>
    <t>固定成本</t>
  </si>
  <si>
    <t>金额</t>
  </si>
  <si>
    <t>管理人员薪金</t>
  </si>
  <si>
    <t>扩大产能后最大产量</t>
  </si>
  <si>
    <t>设备租金</t>
  </si>
  <si>
    <t>产量</t>
  </si>
  <si>
    <t>80%产能</t>
  </si>
  <si>
    <t>办公费</t>
  </si>
  <si>
    <t>折旧费</t>
  </si>
  <si>
    <t>劳动保护费</t>
  </si>
  <si>
    <t>每月固定成本合计</t>
  </si>
  <si>
    <t>翅片模</t>
  </si>
  <si>
    <t>翅片模产能分析</t>
  </si>
  <si>
    <t>占现有超硬磨具部件产能的50%</t>
  </si>
  <si>
    <t>两种产品的本量利分析</t>
  </si>
  <si>
    <t>产品价格分析</t>
  </si>
  <si>
    <t>市场价</t>
  </si>
  <si>
    <t>外商定价</t>
  </si>
  <si>
    <t>保本量</t>
  </si>
  <si>
    <t>目标利润</t>
  </si>
  <si>
    <t>保利量</t>
  </si>
  <si>
    <t>1.如果不转产翅片模</t>
  </si>
  <si>
    <t>超硬磨具利润</t>
  </si>
  <si>
    <t>产销量</t>
  </si>
  <si>
    <t>边际贡献总额</t>
  </si>
  <si>
    <t>固定成本总额</t>
  </si>
  <si>
    <t>利润</t>
  </si>
  <si>
    <t>2.50%转产翅片模</t>
  </si>
  <si>
    <t>生产线总利润分析</t>
  </si>
  <si>
    <t>翅片模贡献</t>
  </si>
  <si>
    <t>超硬磨具贡献</t>
  </si>
  <si>
    <t>贡献总额</t>
  </si>
  <si>
    <t>利润总额</t>
  </si>
  <si>
    <t>翅片模利润</t>
  </si>
  <si>
    <t>因为700小于2500，所以不应该转产翅片模。</t>
  </si>
  <si>
    <t>翅片模目标利润分析</t>
  </si>
  <si>
    <t>根据目标利润分析，要想让转产后获取的利润和转产前相同，需要至少销售翅片模215套。</t>
  </si>
  <si>
    <t>5.商务部认为降价后公司会亏损，不同意接外商的订单，而财务部分析认为不会亏损，应该接外商的订单。作为销售部经理，应该停接受财务部的建议，毕竟财务部是专业分析。</t>
  </si>
  <si>
    <t>公司剩余20%产能，还能够生存翅片模500*20%=100（套），接受80套外商订单的相关损益分析如下表</t>
  </si>
  <si>
    <t>金额（元）</t>
  </si>
  <si>
    <t>相关收入</t>
  </si>
  <si>
    <t>相关成本</t>
  </si>
  <si>
    <t>相关损益</t>
  </si>
  <si>
    <t>如果外商订货量为200套，超越了公司剩余产能100件，要冲击正常业务100套翅片模的产能。具体分析如下：</t>
  </si>
  <si>
    <t>订单数量</t>
  </si>
  <si>
    <t>超产能100套解决方案</t>
  </si>
  <si>
    <t>1.压缩正常翅片模业务100套，相关成本分析如下</t>
  </si>
  <si>
    <t>相关生产成本</t>
  </si>
  <si>
    <t>机会成本</t>
  </si>
  <si>
    <t>相关成本合计</t>
  </si>
  <si>
    <t>根据分析，不应该压缩翅片模正常业务接受特殊订单。</t>
  </si>
  <si>
    <t>2.压缩超硬磨具产能，腾出产能生产多余的100件。</t>
  </si>
  <si>
    <t>根据分析，需要压缩超硬磨具产能1000套，腾出产能生产翅片模100套，满足外商200套订单。相关成本分析如下：</t>
  </si>
  <si>
    <t>机会成本分析</t>
  </si>
  <si>
    <t>压缩超硬磨具产销量</t>
  </si>
  <si>
    <t>超硬磨具单位边际贡献</t>
  </si>
  <si>
    <t>通过以上两个方案比较，可以通过压缩超硬磨具产销量来接受订单，会比现在多获得4400的利润，</t>
  </si>
  <si>
    <t>而且，考虑到未来海外市场的开拓推广带来的收益，完全是可以接受的。</t>
  </si>
  <si>
    <t>款式1</t>
  </si>
  <si>
    <t>款式2</t>
  </si>
  <si>
    <t>款式3</t>
  </si>
  <si>
    <t>款式4</t>
  </si>
  <si>
    <t>变动间接费用</t>
  </si>
  <si>
    <t>总变动成本</t>
  </si>
  <si>
    <t>固定间接费用</t>
  </si>
  <si>
    <t>总成本</t>
  </si>
  <si>
    <t>销售收入</t>
  </si>
  <si>
    <t>固定间接费用分配率</t>
  </si>
  <si>
    <t>1.如果款式3停产，新的利润表如下：</t>
  </si>
  <si>
    <r>
      <rPr>
        <sz val="11"/>
        <color theme="1"/>
        <rFont val="宋体"/>
        <charset val="134"/>
        <scheme val="minor"/>
      </rPr>
      <t>停产款式3后，总利润比原来少了</t>
    </r>
    <r>
      <rPr>
        <sz val="11"/>
        <color theme="1"/>
        <rFont val="宋体"/>
        <charset val="134"/>
        <scheme val="minor"/>
      </rPr>
      <t>50000元，所以不应该停产。</t>
    </r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</si>
  <si>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.变动成本法分析</t>
    </r>
  </si>
  <si>
    <t>边际贡献</t>
  </si>
  <si>
    <t>用变动成本法重新分析，发现款式3边际贡献是50000元，在剩余产能没有其他用途的情况下，不应该盲目停产，而应该想办法扩大款式3的市场，扩大销量。</t>
  </si>
  <si>
    <t>边际贡献率</t>
  </si>
  <si>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.如果依照原决策依据，固定间接费用按同样的分配率在剩下的三种产品之间分配的话，如前面的分析，还会有款式1亏损10000元，那就意味着款式1也要停产。安装亏损就停产的决策，所有产品都会停产。</t>
    </r>
  </si>
  <si>
    <t>公司目前基本情况</t>
  </si>
  <si>
    <t>产销情况</t>
  </si>
  <si>
    <t>直接材料A</t>
  </si>
  <si>
    <t>直接材料B</t>
  </si>
  <si>
    <t>变动制造费用</t>
  </si>
  <si>
    <t>固定制造费用</t>
  </si>
  <si>
    <t>固定销售及管理费用</t>
  </si>
  <si>
    <t>1800000/年</t>
  </si>
  <si>
    <t>105000/月</t>
  </si>
  <si>
    <t>特殊订单数量</t>
  </si>
  <si>
    <t>单位成本表</t>
  </si>
  <si>
    <t>特殊订单单价/元</t>
  </si>
  <si>
    <t>单位成本</t>
  </si>
  <si>
    <t>年计划产能/盏</t>
  </si>
  <si>
    <t>已用产能/盏</t>
  </si>
  <si>
    <t>产能利用率</t>
  </si>
  <si>
    <t>间接费用</t>
  </si>
  <si>
    <t>剩余产能</t>
  </si>
  <si>
    <t>变动成本</t>
  </si>
  <si>
    <t>专属固定成本/元</t>
  </si>
  <si>
    <t>固定成本（按每年生产40000盏灯计算）</t>
  </si>
  <si>
    <t>总生产成本</t>
  </si>
  <si>
    <t>1.接受订单相关损益分析</t>
  </si>
  <si>
    <t>专属固定成本</t>
  </si>
  <si>
    <t>2.未来，随着公司市场打开，应该尽量接受正常订单。在公司市场需求不旺盛条件下，不影响正常销售时候，可以接受这种订单。</t>
  </si>
  <si>
    <t>成本分析</t>
  </si>
  <si>
    <t>每月固定成本</t>
  </si>
  <si>
    <t>分摊物业公司成本</t>
  </si>
  <si>
    <t>管理人员工资</t>
  </si>
  <si>
    <t>降价后价格</t>
  </si>
  <si>
    <t>其他固定费用</t>
  </si>
  <si>
    <t>人数</t>
  </si>
  <si>
    <t>家政工人基本工资</t>
  </si>
  <si>
    <t>变动成本分析</t>
  </si>
  <si>
    <t>现有服务数量</t>
  </si>
  <si>
    <t>最大服务数量</t>
  </si>
  <si>
    <t>降价后预计需求量</t>
  </si>
  <si>
    <t>每小时工资</t>
  </si>
  <si>
    <t>每月/天</t>
  </si>
  <si>
    <t>服务单价</t>
  </si>
  <si>
    <t>每天/小时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</si>
  <si>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.降价前利润</t>
    </r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</si>
  <si>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.降价后利润分析</t>
    </r>
  </si>
  <si>
    <t>收入</t>
  </si>
  <si>
    <t>减：变动成本</t>
  </si>
  <si>
    <t>减：固定成本</t>
  </si>
  <si>
    <t>分析：显然降价后获取的利润比降价前变少了，说明降价措施不合适。降价太多。</t>
  </si>
  <si>
    <t>设降价后最低价格是x</t>
  </si>
  <si>
    <t>x</t>
  </si>
  <si>
    <t>分析可知，要想保证利润不降低，在最大服务数量假设条件下，价格最低是18元。</t>
  </si>
  <si>
    <t>上年数据</t>
  </si>
  <si>
    <t>产量为2400万卷时</t>
  </si>
  <si>
    <t>项　目</t>
  </si>
  <si>
    <t>数　量</t>
  </si>
  <si>
    <t>2022年公司的利润表  单位：万元</t>
  </si>
  <si>
    <t>2023年完全成本法利润表   单位：万元</t>
  </si>
  <si>
    <t>2023年变动成本法利润表   单位：万元</t>
  </si>
  <si>
    <t>单位售价(元)</t>
  </si>
  <si>
    <t>单位变动生产成本(元)</t>
  </si>
  <si>
    <t>单位变动销售和管理费用(元)</t>
  </si>
  <si>
    <t>减：销售成本</t>
  </si>
  <si>
    <t>总固定生产成本(万元)</t>
  </si>
  <si>
    <t>期初存货成本</t>
  </si>
  <si>
    <t>总固定销售和管理费用(元)</t>
  </si>
  <si>
    <t>加：本期生产成本</t>
  </si>
  <si>
    <t>减：固定成本总额</t>
  </si>
  <si>
    <t>销售量(万卷)</t>
  </si>
  <si>
    <t>减：期末存货成本</t>
  </si>
  <si>
    <t>固定生产成本</t>
  </si>
  <si>
    <t>产量(万卷)</t>
  </si>
  <si>
    <t>销售毛利</t>
  </si>
  <si>
    <t>固定销售和管理费用</t>
  </si>
  <si>
    <t>减：期间费用</t>
  </si>
  <si>
    <t>本年决策信息</t>
  </si>
  <si>
    <t>变动销售和管理费用</t>
  </si>
  <si>
    <t>决策1</t>
  </si>
  <si>
    <t>广告投入固定销售成本增加/万元</t>
  </si>
  <si>
    <t>营业利润</t>
  </si>
  <si>
    <t>销售量提高到/万卷</t>
  </si>
  <si>
    <t>给K分红</t>
  </si>
  <si>
    <t>不投广告销量/万卷</t>
  </si>
  <si>
    <t>决策2</t>
  </si>
  <si>
    <t>产量为3000万卷时</t>
  </si>
  <si>
    <t>下年生产量</t>
  </si>
  <si>
    <t>决策1分析</t>
  </si>
  <si>
    <t>产品单价/元</t>
  </si>
  <si>
    <t>单位变动成本/元</t>
  </si>
  <si>
    <t>单位边际贡献/元</t>
  </si>
  <si>
    <t>投广告增加的销量/万辆</t>
  </si>
  <si>
    <t>投广告增加的边际贡献/万元</t>
  </si>
  <si>
    <t>投广告增加的固定成本/万元</t>
  </si>
  <si>
    <t>投广告增加的收益/万元</t>
  </si>
  <si>
    <t>可以投该广告，会增加收益220万元。</t>
  </si>
  <si>
    <t>决策2分析</t>
  </si>
  <si>
    <t>产品成本分析</t>
  </si>
  <si>
    <t>单位变动生产成本/元</t>
  </si>
  <si>
    <t>单位固定生产成本/元</t>
  </si>
  <si>
    <t>单位成本/元</t>
  </si>
  <si>
    <t>期末存货量/万卷</t>
  </si>
  <si>
    <t>期末存货成本/万元</t>
  </si>
  <si>
    <t>通过对比利润分析，发现从K自身利益获得分红的角度来看，应该选择生产3000万卷，k可以获得18.8万元分红，比生产2400万卷多获得16.8万元分红。k已经和下一家公司签好合同，可以直接拿分红走人。</t>
  </si>
  <si>
    <t>站在公司的角度分析，不管生产量是2400万卷还是3000万卷，销量都是2400万卷，给公司增加的销售利润只有20万元。如果生产3000万卷，而市场没有打开，公司还要为本年存货600万卷支付仓储费和管理费。</t>
  </si>
  <si>
    <t>每月收入成本信息</t>
  </si>
  <si>
    <t>目前（元）</t>
  </si>
  <si>
    <t>未来(元)</t>
  </si>
  <si>
    <t>固定管理费用/年</t>
  </si>
  <si>
    <t>工资费用</t>
  </si>
  <si>
    <t>预计每月制造费用变化情况</t>
  </si>
  <si>
    <t>维修费用</t>
  </si>
  <si>
    <t>仓储费用</t>
  </si>
  <si>
    <t>工厂管理费用</t>
  </si>
  <si>
    <t>利润分析</t>
  </si>
  <si>
    <t>增量</t>
  </si>
  <si>
    <t>每月收入</t>
  </si>
  <si>
    <t>减：变动成本/月</t>
  </si>
  <si>
    <t>边际贡献/月</t>
  </si>
  <si>
    <t>全年合计</t>
  </si>
  <si>
    <t>减：固定成本成本</t>
  </si>
  <si>
    <t>全年利润</t>
  </si>
  <si>
    <t>通过前面的利润分析比较，可知如果充分利用现有产能，增加生产，在增加产品能够正常销售的情况下，是可行的，能够给公司增加1146万元的利润。</t>
  </si>
  <si>
    <t>可能存在的问题是，未来的成本增量分析是否考虑周全，有没有额外增加的成本？还有就是未来多生产的产品能否正常销售出去？</t>
  </si>
  <si>
    <t>y装置供应情况</t>
  </si>
  <si>
    <t>外购</t>
  </si>
  <si>
    <t>自制</t>
  </si>
  <si>
    <t>A方案</t>
  </si>
  <si>
    <t>B方案</t>
  </si>
  <si>
    <t>固定成本/元</t>
  </si>
  <si>
    <t>产能/套</t>
  </si>
  <si>
    <t>自用</t>
  </si>
  <si>
    <t>无限量</t>
  </si>
  <si>
    <t>自用价格/元</t>
  </si>
  <si>
    <t>外销/元</t>
  </si>
  <si>
    <t>2016年B方案y产销量情况</t>
  </si>
  <si>
    <t>2017年生产销售分析</t>
  </si>
  <si>
    <t>数量/套</t>
  </si>
  <si>
    <t>满负荷生产</t>
  </si>
  <si>
    <t>外销</t>
  </si>
  <si>
    <t>1.2016年建成投产，所以2015年公司所用的Y还是外购。</t>
  </si>
  <si>
    <t>2.如果选择甲方按投资。自制和外购成本分析如下</t>
  </si>
  <si>
    <t>600000+3000x=5000x</t>
  </si>
  <si>
    <t>x=</t>
  </si>
  <si>
    <t>即最少要生产300台X型数控组合机床，才能和外购成本一样。如果达不到300台需求，就不如外购合算。</t>
  </si>
  <si>
    <t>3.2016年乙车间Y装置利润分析</t>
  </si>
  <si>
    <t>4.增产或停产比较分析</t>
  </si>
  <si>
    <t>停产分析</t>
  </si>
  <si>
    <t>增产分析</t>
  </si>
  <si>
    <t>通过比较，显然是满负荷生产最佳。</t>
  </si>
  <si>
    <t>5.根据上一问题，乙车间最佳决策是满负荷生产Y装置。2017年甲公司需求Y装置1200台。</t>
  </si>
  <si>
    <t>乙车间全部对外销售获取的利润分析</t>
  </si>
  <si>
    <t>甲公司购买Y装置费用</t>
  </si>
  <si>
    <t>生产量</t>
  </si>
  <si>
    <t>购买数量</t>
  </si>
  <si>
    <t>对外销售量</t>
  </si>
  <si>
    <t>对内销售量</t>
  </si>
  <si>
    <t>甲公司Y装置的总成本效益分析</t>
  </si>
  <si>
    <t>乙车间利润</t>
  </si>
  <si>
    <t>公司外购Y装置成本</t>
  </si>
  <si>
    <t>公司总利润</t>
  </si>
  <si>
    <t>乙车间先满足对内1200台需求，剩余对外销售利润分析</t>
  </si>
  <si>
    <t>对比两个方案，显然对内销售1200台，剩余对外销售对公司有利，不仅满足了生产的需求，还给公司创造利润800000元。</t>
  </si>
  <si>
    <t>2015年预计利润表</t>
  </si>
  <si>
    <t>汽车保险</t>
  </si>
  <si>
    <t>人身保险</t>
  </si>
  <si>
    <t>营业收入</t>
  </si>
  <si>
    <t>贡献边际</t>
  </si>
  <si>
    <t>减：固定成本（分配额）</t>
  </si>
  <si>
    <t>营业利润（损失）</t>
  </si>
  <si>
    <t>汽车保险亏损110000元。</t>
  </si>
  <si>
    <t>停产汽车保险的分析</t>
  </si>
  <si>
    <t>通过比较停产汽车保险前后公司的总利润，可以得出公司不应该停产汽车保险业务。</t>
  </si>
  <si>
    <t>2.增加500000元广告费后</t>
  </si>
  <si>
    <t>对比增加广告费用后的预计利润表和原来的预计利润表，发现增加广告费后并没有给公司多带来利润，反而降低了。所以该广告投资方案不合适。</t>
  </si>
  <si>
    <t>1000台洗衣机一年内需要维修的次数和发生的概率</t>
  </si>
  <si>
    <t>维修次数</t>
  </si>
  <si>
    <t>概率</t>
  </si>
  <si>
    <t>1000次以下</t>
  </si>
  <si>
    <t>1300次</t>
  </si>
  <si>
    <t>1500次</t>
  </si>
  <si>
    <t>2000次</t>
  </si>
  <si>
    <t>甲维修厂成本</t>
  </si>
  <si>
    <t>乙维修厂成本</t>
  </si>
  <si>
    <t>超过1000次，每次收费</t>
  </si>
  <si>
    <t>成本</t>
  </si>
  <si>
    <t>期望成本</t>
  </si>
  <si>
    <t>丙维修厂成本分析</t>
  </si>
  <si>
    <t>1500次以内</t>
  </si>
  <si>
    <t>通过三家维修厂维修费分析，乙维修厂维修费最低，所以应该选择乙维修厂签订维修合同。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</si>
</sst>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方正书宋_GBK"/>
      <charset val="134"/>
    </font>
    <font>
      <b/>
      <sz val="11"/>
      <color rgb="FF000000"/>
      <name val="NEU-BZ-S92"/>
      <charset val="134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0" fontId="1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1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Fill="1" applyBorder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Fill="1" applyBorder="1">
      <alignment vertical="center"/>
    </xf>
    <xf numFmtId="0" fontId="0" fillId="0" borderId="5" xfId="0" applyFont="1" applyFill="1" applyBorder="1">
      <alignment vertical="center"/>
    </xf>
    <xf numFmtId="0" fontId="8" fillId="0" borderId="1" xfId="0" applyFont="1" applyBorder="1">
      <alignment vertical="center"/>
    </xf>
    <xf numFmtId="0" fontId="0" fillId="0" borderId="6" xfId="0" applyBorder="1">
      <alignment vertical="center"/>
    </xf>
    <xf numFmtId="0" fontId="8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9" fillId="0" borderId="1" xfId="0" applyFont="1" applyBorder="1">
      <alignment vertical="center"/>
    </xf>
    <xf numFmtId="176" fontId="9" fillId="0" borderId="1" xfId="0" applyNumberFormat="1" applyFont="1" applyBorder="1">
      <alignment vertical="center"/>
    </xf>
    <xf numFmtId="10" fontId="9" fillId="0" borderId="1" xfId="11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92"/>
  <sheetViews>
    <sheetView topLeftCell="A59" workbookViewId="0">
      <selection activeCell="B72" sqref="B72"/>
    </sheetView>
  </sheetViews>
  <sheetFormatPr defaultColWidth="9" defaultRowHeight="13.5"/>
  <cols>
    <col min="1" max="1" width="22.625" customWidth="1"/>
    <col min="2" max="2" width="12.5" customWidth="1"/>
    <col min="3" max="3" width="15.375" customWidth="1"/>
    <col min="4" max="4" width="14.375" customWidth="1"/>
    <col min="5" max="5" width="12.25" customWidth="1"/>
    <col min="6" max="6" width="12.125" customWidth="1"/>
    <col min="7" max="7" width="11.625" customWidth="1"/>
    <col min="8" max="8" width="12.625" customWidth="1"/>
    <col min="9" max="9" width="12.375" customWidth="1"/>
    <col min="10" max="10" width="9.125" style="5" customWidth="1"/>
    <col min="12" max="13" width="12.625"/>
  </cols>
  <sheetData>
    <row r="2" spans="1:1">
      <c r="A2" t="s">
        <v>0</v>
      </c>
    </row>
    <row r="3" spans="1:13">
      <c r="A3" s="35" t="s">
        <v>1</v>
      </c>
      <c r="B3" s="35" t="s">
        <v>2</v>
      </c>
      <c r="C3" s="35" t="s">
        <v>3</v>
      </c>
      <c r="D3" s="35" t="s">
        <v>4</v>
      </c>
      <c r="E3" s="35" t="s">
        <v>5</v>
      </c>
      <c r="F3" s="35" t="s">
        <v>6</v>
      </c>
      <c r="G3" s="35" t="s">
        <v>7</v>
      </c>
      <c r="H3" s="35" t="s">
        <v>8</v>
      </c>
      <c r="I3" s="35" t="s">
        <v>9</v>
      </c>
      <c r="J3" s="37" t="s">
        <v>10</v>
      </c>
      <c r="K3" s="37" t="s">
        <v>11</v>
      </c>
      <c r="L3" s="37" t="s">
        <v>12</v>
      </c>
      <c r="M3" s="37" t="s">
        <v>13</v>
      </c>
    </row>
    <row r="4" spans="1:13">
      <c r="A4" s="35" t="s">
        <v>14</v>
      </c>
      <c r="B4" s="2">
        <v>460</v>
      </c>
      <c r="C4" s="2">
        <v>160</v>
      </c>
      <c r="D4" s="2">
        <v>40</v>
      </c>
      <c r="E4" s="2">
        <f>C4+D4</f>
        <v>200</v>
      </c>
      <c r="F4" s="2">
        <f>B4-E4</f>
        <v>260</v>
      </c>
      <c r="G4" s="2">
        <v>16400</v>
      </c>
      <c r="H4" s="2">
        <v>9320</v>
      </c>
      <c r="I4" s="2">
        <f>G4+H4</f>
        <v>25720</v>
      </c>
      <c r="J4" s="38">
        <f>I4/F4</f>
        <v>98.9230769230769</v>
      </c>
      <c r="K4" s="39">
        <v>12000</v>
      </c>
      <c r="L4" s="40">
        <f>K4-J4</f>
        <v>11901.0769230769</v>
      </c>
      <c r="M4" s="41">
        <f>L4/K4</f>
        <v>0.99175641025641</v>
      </c>
    </row>
    <row r="5" spans="1:13">
      <c r="A5" s="35" t="s">
        <v>15</v>
      </c>
      <c r="B5" s="2">
        <v>280</v>
      </c>
      <c r="C5" s="2">
        <v>90</v>
      </c>
      <c r="D5" s="2">
        <v>30</v>
      </c>
      <c r="E5" s="2">
        <f>C5+D5</f>
        <v>120</v>
      </c>
      <c r="F5" s="2">
        <f>B5-E5</f>
        <v>160</v>
      </c>
      <c r="G5" s="2">
        <v>14500</v>
      </c>
      <c r="H5" s="2">
        <v>8530</v>
      </c>
      <c r="I5" s="2">
        <f>G5+H5</f>
        <v>23030</v>
      </c>
      <c r="J5" s="38">
        <f>I5/F5</f>
        <v>143.9375</v>
      </c>
      <c r="K5" s="39">
        <v>8000</v>
      </c>
      <c r="L5" s="40">
        <f>K5-J5</f>
        <v>7856.0625</v>
      </c>
      <c r="M5" s="41">
        <f>L5/K5</f>
        <v>0.9820078125</v>
      </c>
    </row>
    <row r="6" spans="1:13">
      <c r="A6" s="35" t="s">
        <v>16</v>
      </c>
      <c r="B6" s="2">
        <v>320</v>
      </c>
      <c r="C6" s="2">
        <v>120</v>
      </c>
      <c r="D6" s="2">
        <v>50</v>
      </c>
      <c r="E6" s="2">
        <f>C6+D6</f>
        <v>170</v>
      </c>
      <c r="F6" s="2">
        <f>B6-E6</f>
        <v>150</v>
      </c>
      <c r="G6" s="2">
        <v>18800</v>
      </c>
      <c r="H6" s="2">
        <v>10100</v>
      </c>
      <c r="I6" s="2">
        <f>G6+H6</f>
        <v>28900</v>
      </c>
      <c r="J6" s="38">
        <f>I6/F6</f>
        <v>192.666666666667</v>
      </c>
      <c r="K6" s="39">
        <v>7200</v>
      </c>
      <c r="L6" s="40">
        <f>K6-J6</f>
        <v>7007.33333333333</v>
      </c>
      <c r="M6" s="41">
        <f>L6/K6</f>
        <v>0.973240740740741</v>
      </c>
    </row>
    <row r="8" spans="1:1">
      <c r="A8" t="s">
        <v>17</v>
      </c>
    </row>
    <row r="9" spans="1:1">
      <c r="A9" t="s">
        <v>18</v>
      </c>
    </row>
    <row r="11" spans="1:1">
      <c r="A11" t="s">
        <v>19</v>
      </c>
    </row>
    <row r="13" spans="1:1">
      <c r="A13" t="s">
        <v>20</v>
      </c>
    </row>
    <row r="14" spans="1:1">
      <c r="A14" t="s">
        <v>21</v>
      </c>
    </row>
    <row r="15" spans="6:9">
      <c r="F15" s="5" t="s">
        <v>22</v>
      </c>
      <c r="G15" s="5"/>
      <c r="H15" s="5"/>
      <c r="I15" s="5"/>
    </row>
    <row r="16" spans="1:9">
      <c r="A16" s="2" t="s">
        <v>23</v>
      </c>
      <c r="B16" s="2" t="s">
        <v>24</v>
      </c>
      <c r="C16" s="2" t="s">
        <v>25</v>
      </c>
      <c r="D16" s="2" t="s">
        <v>26</v>
      </c>
      <c r="F16" s="2" t="s">
        <v>27</v>
      </c>
      <c r="G16" s="2" t="s">
        <v>28</v>
      </c>
      <c r="H16" s="2" t="s">
        <v>29</v>
      </c>
      <c r="I16" s="2" t="s">
        <v>30</v>
      </c>
    </row>
    <row r="17" spans="1:9">
      <c r="A17" s="2" t="s">
        <v>28</v>
      </c>
      <c r="B17" s="2">
        <f>G17</f>
        <v>19</v>
      </c>
      <c r="C17" s="2">
        <v>9</v>
      </c>
      <c r="D17" s="2">
        <f>B17*C17</f>
        <v>171</v>
      </c>
      <c r="F17" s="2" t="s">
        <v>31</v>
      </c>
      <c r="G17" s="2">
        <v>19</v>
      </c>
      <c r="H17" s="2">
        <v>28</v>
      </c>
      <c r="I17" s="2">
        <v>21</v>
      </c>
    </row>
    <row r="18" spans="1:9">
      <c r="A18" s="2" t="s">
        <v>29</v>
      </c>
      <c r="B18" s="2">
        <f>H17</f>
        <v>28</v>
      </c>
      <c r="C18" s="2">
        <v>1</v>
      </c>
      <c r="D18" s="2">
        <f>B18*C18</f>
        <v>28</v>
      </c>
      <c r="F18" s="2" t="s">
        <v>32</v>
      </c>
      <c r="G18" s="2">
        <v>11</v>
      </c>
      <c r="H18" s="2">
        <v>18</v>
      </c>
      <c r="I18" s="2">
        <v>10</v>
      </c>
    </row>
    <row r="19" spans="1:9">
      <c r="A19" s="2" t="s">
        <v>30</v>
      </c>
      <c r="B19" s="2">
        <f>I17</f>
        <v>21</v>
      </c>
      <c r="C19" s="2"/>
      <c r="D19" s="2"/>
      <c r="F19" s="2" t="s">
        <v>33</v>
      </c>
      <c r="G19" s="2">
        <v>1</v>
      </c>
      <c r="H19" s="2">
        <v>1</v>
      </c>
      <c r="I19" s="2">
        <v>2</v>
      </c>
    </row>
    <row r="20" spans="1:9">
      <c r="A20" s="1" t="s">
        <v>34</v>
      </c>
      <c r="B20" s="1"/>
      <c r="C20" s="1"/>
      <c r="D20" s="2">
        <f>D17+D18</f>
        <v>199</v>
      </c>
      <c r="F20" s="2" t="s">
        <v>35</v>
      </c>
      <c r="G20" s="2">
        <v>3</v>
      </c>
      <c r="H20" s="2">
        <v>5</v>
      </c>
      <c r="I20" s="2">
        <v>5</v>
      </c>
    </row>
    <row r="21" spans="1:9">
      <c r="A21" t="s">
        <v>36</v>
      </c>
      <c r="F21" s="2" t="s">
        <v>37</v>
      </c>
      <c r="G21" s="2">
        <v>2</v>
      </c>
      <c r="H21" s="2">
        <v>3</v>
      </c>
      <c r="I21" s="2">
        <v>3</v>
      </c>
    </row>
    <row r="22" spans="1:9">
      <c r="A22" s="2" t="s">
        <v>38</v>
      </c>
      <c r="B22" s="2" t="s">
        <v>39</v>
      </c>
      <c r="C22" s="2" t="s">
        <v>40</v>
      </c>
      <c r="D22" s="2" t="s">
        <v>34</v>
      </c>
      <c r="F22" s="2" t="s">
        <v>41</v>
      </c>
      <c r="G22" s="2">
        <v>2</v>
      </c>
      <c r="H22" s="2">
        <v>1</v>
      </c>
      <c r="I22" s="2">
        <v>1</v>
      </c>
    </row>
    <row r="23" spans="1:4">
      <c r="A23" s="2" t="s">
        <v>42</v>
      </c>
      <c r="B23" s="2">
        <v>2</v>
      </c>
      <c r="C23" s="2">
        <v>3000</v>
      </c>
      <c r="D23" s="2">
        <f>B23*C23</f>
        <v>6000</v>
      </c>
    </row>
    <row r="24" spans="1:9">
      <c r="A24" s="2" t="s">
        <v>43</v>
      </c>
      <c r="B24" s="2">
        <v>3</v>
      </c>
      <c r="C24" s="2">
        <v>2000</v>
      </c>
      <c r="D24" s="2">
        <f>B24*C24</f>
        <v>6000</v>
      </c>
      <c r="F24" s="5" t="s">
        <v>44</v>
      </c>
      <c r="G24" s="5"/>
      <c r="H24" s="5"/>
      <c r="I24" s="5"/>
    </row>
    <row r="25" spans="1:9">
      <c r="A25" s="2" t="s">
        <v>34</v>
      </c>
      <c r="B25" s="2"/>
      <c r="C25" s="2"/>
      <c r="D25" s="2">
        <f>D23+D24</f>
        <v>12000</v>
      </c>
      <c r="F25" s="1" t="s">
        <v>45</v>
      </c>
      <c r="G25" s="1"/>
      <c r="H25" s="1" t="s">
        <v>46</v>
      </c>
      <c r="I25" s="1"/>
    </row>
    <row r="26" spans="6:9">
      <c r="F26" s="1" t="s">
        <v>47</v>
      </c>
      <c r="G26" s="1"/>
      <c r="H26" s="1">
        <v>12000</v>
      </c>
      <c r="I26" s="1"/>
    </row>
    <row r="27" spans="1:9">
      <c r="A27" t="s">
        <v>48</v>
      </c>
      <c r="F27" s="1" t="s">
        <v>49</v>
      </c>
      <c r="G27" s="1"/>
      <c r="H27" s="1">
        <v>4000</v>
      </c>
      <c r="I27" s="1"/>
    </row>
    <row r="28" spans="1:9">
      <c r="A28" t="s">
        <v>1</v>
      </c>
      <c r="B28" t="s">
        <v>50</v>
      </c>
      <c r="C28" t="s">
        <v>51</v>
      </c>
      <c r="F28" s="1" t="s">
        <v>52</v>
      </c>
      <c r="G28" s="1"/>
      <c r="H28" s="1">
        <v>400</v>
      </c>
      <c r="I28" s="1"/>
    </row>
    <row r="29" spans="1:9">
      <c r="A29" s="2" t="s">
        <v>28</v>
      </c>
      <c r="B29" s="2">
        <v>4500</v>
      </c>
      <c r="C29">
        <f>B29*0.8</f>
        <v>3600</v>
      </c>
      <c r="F29" s="1" t="s">
        <v>53</v>
      </c>
      <c r="G29" s="1"/>
      <c r="H29" s="1">
        <v>8500</v>
      </c>
      <c r="I29" s="1"/>
    </row>
    <row r="30" spans="1:9">
      <c r="A30" s="2" t="s">
        <v>29</v>
      </c>
      <c r="B30" s="2">
        <v>500</v>
      </c>
      <c r="C30">
        <f>B30*0.8</f>
        <v>400</v>
      </c>
      <c r="F30" s="1" t="s">
        <v>54</v>
      </c>
      <c r="G30" s="1"/>
      <c r="H30" s="1">
        <v>600</v>
      </c>
      <c r="I30" s="1"/>
    </row>
    <row r="31" spans="1:9">
      <c r="A31" s="2" t="s">
        <v>30</v>
      </c>
      <c r="B31" s="2">
        <v>5000</v>
      </c>
      <c r="C31">
        <f>B31*0.8</f>
        <v>4000</v>
      </c>
      <c r="F31" s="1" t="s">
        <v>55</v>
      </c>
      <c r="G31" s="1"/>
      <c r="H31" s="1">
        <v>25500</v>
      </c>
      <c r="I31" s="1"/>
    </row>
    <row r="32" spans="1:3">
      <c r="A32" t="s">
        <v>56</v>
      </c>
      <c r="B32">
        <f>B30/1</f>
        <v>500</v>
      </c>
      <c r="C32">
        <f>B32*0.8</f>
        <v>400</v>
      </c>
    </row>
    <row r="34" spans="1:2">
      <c r="A34" t="s">
        <v>57</v>
      </c>
      <c r="B34" t="s">
        <v>58</v>
      </c>
    </row>
    <row r="35" spans="5:5">
      <c r="E35" t="s">
        <v>59</v>
      </c>
    </row>
    <row r="36" spans="1:2">
      <c r="A36" s="36" t="s">
        <v>60</v>
      </c>
      <c r="B36" s="36"/>
    </row>
    <row r="37" spans="1:12">
      <c r="A37" s="2" t="s">
        <v>1</v>
      </c>
      <c r="B37" s="2" t="s">
        <v>61</v>
      </c>
      <c r="C37" s="2" t="s">
        <v>62</v>
      </c>
      <c r="E37" s="2" t="s">
        <v>1</v>
      </c>
      <c r="F37" s="2" t="s">
        <v>61</v>
      </c>
      <c r="G37" s="2" t="s">
        <v>31</v>
      </c>
      <c r="H37" s="2" t="s">
        <v>6</v>
      </c>
      <c r="I37" s="2" t="s">
        <v>45</v>
      </c>
      <c r="J37" s="1" t="s">
        <v>63</v>
      </c>
      <c r="K37" s="2" t="s">
        <v>64</v>
      </c>
      <c r="L37" s="2" t="s">
        <v>65</v>
      </c>
    </row>
    <row r="38" spans="1:12">
      <c r="A38" s="2" t="s">
        <v>30</v>
      </c>
      <c r="B38" s="2">
        <v>28</v>
      </c>
      <c r="C38" s="2"/>
      <c r="E38" s="2" t="s">
        <v>30</v>
      </c>
      <c r="F38" s="2">
        <v>28</v>
      </c>
      <c r="G38" s="2">
        <f>B19</f>
        <v>21</v>
      </c>
      <c r="H38" s="2">
        <f>F38-G38</f>
        <v>7</v>
      </c>
      <c r="I38" s="2">
        <f>H31/2</f>
        <v>12750</v>
      </c>
      <c r="J38" s="1">
        <f>ROUNDUP(I38/H38,0)</f>
        <v>1822</v>
      </c>
      <c r="K38" s="2">
        <v>5500</v>
      </c>
      <c r="L38" s="2">
        <f>ROUND((K38+I38)/H38,0)</f>
        <v>2607</v>
      </c>
    </row>
    <row r="39" spans="1:12">
      <c r="A39" s="2" t="s">
        <v>56</v>
      </c>
      <c r="B39" s="2">
        <v>320</v>
      </c>
      <c r="C39" s="2">
        <f>B39*0.8</f>
        <v>256</v>
      </c>
      <c r="E39" s="2" t="s">
        <v>56</v>
      </c>
      <c r="F39" s="2">
        <v>320</v>
      </c>
      <c r="G39" s="2">
        <f>D20</f>
        <v>199</v>
      </c>
      <c r="H39" s="2">
        <f>F39-G39</f>
        <v>121</v>
      </c>
      <c r="I39" s="2">
        <f>H31/2</f>
        <v>12750</v>
      </c>
      <c r="J39" s="1">
        <f>ROUNDUP(I39/H39,0)</f>
        <v>106</v>
      </c>
      <c r="K39" s="2">
        <v>5500</v>
      </c>
      <c r="L39" s="2">
        <f>ROUND((K39+I39)/H39,0)</f>
        <v>151</v>
      </c>
    </row>
    <row r="41" spans="1:1">
      <c r="A41" t="s">
        <v>66</v>
      </c>
    </row>
    <row r="42" spans="1:2">
      <c r="A42" s="5" t="s">
        <v>67</v>
      </c>
      <c r="B42" s="5"/>
    </row>
    <row r="43" spans="1:2">
      <c r="A43" s="2" t="s">
        <v>68</v>
      </c>
      <c r="B43" s="2">
        <f>B31*0.8</f>
        <v>4000</v>
      </c>
    </row>
    <row r="44" spans="1:2">
      <c r="A44" s="2" t="s">
        <v>6</v>
      </c>
      <c r="B44" s="2">
        <f>H38</f>
        <v>7</v>
      </c>
    </row>
    <row r="45" spans="1:2">
      <c r="A45" s="2" t="s">
        <v>69</v>
      </c>
      <c r="B45" s="2">
        <f>B43*B44</f>
        <v>28000</v>
      </c>
    </row>
    <row r="46" spans="1:2">
      <c r="A46" s="2" t="s">
        <v>70</v>
      </c>
      <c r="B46" s="2">
        <f>H31</f>
        <v>25500</v>
      </c>
    </row>
    <row r="47" spans="1:2">
      <c r="A47" s="2" t="s">
        <v>71</v>
      </c>
      <c r="B47" s="4">
        <f>B45-B46</f>
        <v>2500</v>
      </c>
    </row>
    <row r="49" spans="1:1">
      <c r="A49" t="s">
        <v>72</v>
      </c>
    </row>
    <row r="50" spans="1:5">
      <c r="A50" s="5" t="s">
        <v>67</v>
      </c>
      <c r="B50" s="5"/>
      <c r="D50" s="5" t="s">
        <v>73</v>
      </c>
      <c r="E50" s="5"/>
    </row>
    <row r="51" spans="1:5">
      <c r="A51" s="2" t="s">
        <v>68</v>
      </c>
      <c r="B51" s="2">
        <f>B43*0.5</f>
        <v>2000</v>
      </c>
      <c r="D51" s="2" t="s">
        <v>38</v>
      </c>
      <c r="E51" s="2" t="s">
        <v>46</v>
      </c>
    </row>
    <row r="52" spans="1:5">
      <c r="A52" s="2" t="s">
        <v>6</v>
      </c>
      <c r="B52" s="2">
        <f>B44</f>
        <v>7</v>
      </c>
      <c r="D52" s="2" t="s">
        <v>74</v>
      </c>
      <c r="E52" s="2">
        <f>B60</f>
        <v>24200</v>
      </c>
    </row>
    <row r="53" spans="1:5">
      <c r="A53" s="2" t="s">
        <v>69</v>
      </c>
      <c r="B53" s="2">
        <f>B51*B52</f>
        <v>14000</v>
      </c>
      <c r="D53" s="2" t="s">
        <v>75</v>
      </c>
      <c r="E53" s="2">
        <f>B53</f>
        <v>14000</v>
      </c>
    </row>
    <row r="54" spans="1:5">
      <c r="A54" s="2" t="s">
        <v>70</v>
      </c>
      <c r="B54" s="2">
        <f>I38</f>
        <v>12750</v>
      </c>
      <c r="D54" s="2" t="s">
        <v>76</v>
      </c>
      <c r="E54" s="2">
        <f>E52+E53</f>
        <v>38200</v>
      </c>
    </row>
    <row r="55" spans="1:5">
      <c r="A55" s="2" t="s">
        <v>71</v>
      </c>
      <c r="B55" s="2">
        <f>B53-B54</f>
        <v>1250</v>
      </c>
      <c r="D55" s="2" t="s">
        <v>70</v>
      </c>
      <c r="E55" s="10">
        <f>B46+D25</f>
        <v>37500</v>
      </c>
    </row>
    <row r="56" spans="4:5">
      <c r="D56" s="2" t="s">
        <v>77</v>
      </c>
      <c r="E56" s="4">
        <f>E54-E55</f>
        <v>700</v>
      </c>
    </row>
    <row r="57" spans="1:2">
      <c r="A57" s="5" t="s">
        <v>78</v>
      </c>
      <c r="B57" s="5"/>
    </row>
    <row r="58" spans="1:2">
      <c r="A58" s="2" t="s">
        <v>68</v>
      </c>
      <c r="B58" s="2">
        <f>B51*0.1</f>
        <v>200</v>
      </c>
    </row>
    <row r="59" spans="1:4">
      <c r="A59" s="2" t="s">
        <v>6</v>
      </c>
      <c r="B59" s="2">
        <f>H39</f>
        <v>121</v>
      </c>
      <c r="D59" t="s">
        <v>79</v>
      </c>
    </row>
    <row r="60" spans="1:2">
      <c r="A60" s="2" t="s">
        <v>69</v>
      </c>
      <c r="B60" s="2">
        <f>B58*B59</f>
        <v>24200</v>
      </c>
    </row>
    <row r="61" spans="1:4">
      <c r="A61" s="2" t="s">
        <v>70</v>
      </c>
      <c r="B61" s="2">
        <f>B54+D25</f>
        <v>24750</v>
      </c>
      <c r="D61" t="s">
        <v>80</v>
      </c>
    </row>
    <row r="62" spans="1:5">
      <c r="A62" s="2" t="s">
        <v>71</v>
      </c>
      <c r="B62" s="2">
        <f>B60-B61</f>
        <v>-550</v>
      </c>
      <c r="D62" s="2" t="s">
        <v>68</v>
      </c>
      <c r="E62" s="2">
        <f>ROUNDUP((E64+E65)/E63,0)</f>
        <v>215</v>
      </c>
    </row>
    <row r="63" spans="4:5">
      <c r="D63" s="2" t="s">
        <v>6</v>
      </c>
      <c r="E63" s="2">
        <f>B59</f>
        <v>121</v>
      </c>
    </row>
    <row r="64" spans="4:5">
      <c r="D64" s="2" t="s">
        <v>64</v>
      </c>
      <c r="E64" s="2">
        <f>B55</f>
        <v>1250</v>
      </c>
    </row>
    <row r="65" spans="4:5">
      <c r="D65" s="2" t="s">
        <v>70</v>
      </c>
      <c r="E65" s="2">
        <f>B61</f>
        <v>24750</v>
      </c>
    </row>
    <row r="66" spans="4:5">
      <c r="D66" s="2" t="s">
        <v>81</v>
      </c>
      <c r="E66" s="2"/>
    </row>
    <row r="67" spans="1:1">
      <c r="A67" t="s">
        <v>82</v>
      </c>
    </row>
    <row r="68" spans="1:1">
      <c r="A68" t="s">
        <v>83</v>
      </c>
    </row>
    <row r="69" spans="1:2">
      <c r="A69" s="2" t="s">
        <v>38</v>
      </c>
      <c r="B69" s="2" t="s">
        <v>84</v>
      </c>
    </row>
    <row r="70" spans="1:2">
      <c r="A70" s="2" t="s">
        <v>85</v>
      </c>
      <c r="B70" s="2">
        <f>80*C39</f>
        <v>20480</v>
      </c>
    </row>
    <row r="71" spans="1:2">
      <c r="A71" s="2" t="s">
        <v>86</v>
      </c>
      <c r="B71" s="2">
        <f>80*G39</f>
        <v>15920</v>
      </c>
    </row>
    <row r="72" spans="1:2">
      <c r="A72" s="2" t="s">
        <v>87</v>
      </c>
      <c r="B72" s="2">
        <f>B70-B71</f>
        <v>4560</v>
      </c>
    </row>
    <row r="74" spans="1:1">
      <c r="A74" t="s">
        <v>88</v>
      </c>
    </row>
    <row r="76" spans="1:4">
      <c r="A76" s="2" t="s">
        <v>89</v>
      </c>
      <c r="B76" s="2">
        <v>200</v>
      </c>
      <c r="D76" t="s">
        <v>90</v>
      </c>
    </row>
    <row r="77" spans="1:4">
      <c r="A77" s="2" t="s">
        <v>2</v>
      </c>
      <c r="B77" s="2">
        <v>256</v>
      </c>
      <c r="D77" t="s">
        <v>91</v>
      </c>
    </row>
    <row r="78" spans="1:5">
      <c r="A78" s="2" t="s">
        <v>85</v>
      </c>
      <c r="B78" s="2">
        <f>B76*B77</f>
        <v>51200</v>
      </c>
      <c r="D78" s="2" t="s">
        <v>92</v>
      </c>
      <c r="E78" s="2">
        <f>G39*100</f>
        <v>19900</v>
      </c>
    </row>
    <row r="79" spans="4:5">
      <c r="D79" s="2" t="s">
        <v>93</v>
      </c>
      <c r="E79" s="2">
        <f>B39*100</f>
        <v>32000</v>
      </c>
    </row>
    <row r="80" spans="4:5">
      <c r="D80" s="2" t="s">
        <v>94</v>
      </c>
      <c r="E80" s="2">
        <f>E78+E79</f>
        <v>51900</v>
      </c>
    </row>
    <row r="81" spans="4:5">
      <c r="D81" s="2" t="s">
        <v>85</v>
      </c>
      <c r="E81" s="2">
        <f>B78</f>
        <v>51200</v>
      </c>
    </row>
    <row r="82" spans="4:6">
      <c r="D82" s="2" t="s">
        <v>87</v>
      </c>
      <c r="E82" s="2">
        <f>E81-E80</f>
        <v>-700</v>
      </c>
      <c r="F82" t="s">
        <v>95</v>
      </c>
    </row>
    <row r="83" spans="1:1">
      <c r="A83" t="s">
        <v>96</v>
      </c>
    </row>
    <row r="84" spans="1:1">
      <c r="A84" t="s">
        <v>97</v>
      </c>
    </row>
    <row r="85" spans="1:2">
      <c r="A85" s="2" t="s">
        <v>92</v>
      </c>
      <c r="B85" s="2">
        <f>G39*200</f>
        <v>39800</v>
      </c>
    </row>
    <row r="86" spans="1:2">
      <c r="A86" s="2" t="s">
        <v>98</v>
      </c>
      <c r="B86" s="2">
        <f>B87*B88</f>
        <v>7000</v>
      </c>
    </row>
    <row r="87" spans="1:2">
      <c r="A87" s="2" t="s">
        <v>99</v>
      </c>
      <c r="B87" s="7">
        <v>1000</v>
      </c>
    </row>
    <row r="88" spans="1:2">
      <c r="A88" s="2" t="s">
        <v>100</v>
      </c>
      <c r="B88" s="7">
        <f>H38</f>
        <v>7</v>
      </c>
    </row>
    <row r="89" spans="1:2">
      <c r="A89" s="2" t="s">
        <v>94</v>
      </c>
      <c r="B89" s="2">
        <f>B85+B86</f>
        <v>46800</v>
      </c>
    </row>
    <row r="90" spans="1:2">
      <c r="A90" s="2" t="s">
        <v>85</v>
      </c>
      <c r="B90" s="2">
        <f>B78</f>
        <v>51200</v>
      </c>
    </row>
    <row r="91" spans="1:4">
      <c r="A91" s="2" t="s">
        <v>87</v>
      </c>
      <c r="B91" s="2">
        <f>B90-B89</f>
        <v>4400</v>
      </c>
      <c r="D91" t="s">
        <v>101</v>
      </c>
    </row>
    <row r="92" spans="4:4">
      <c r="D92" t="s">
        <v>102</v>
      </c>
    </row>
  </sheetData>
  <mergeCells count="21">
    <mergeCell ref="F15:I15"/>
    <mergeCell ref="A20:C20"/>
    <mergeCell ref="F24:I24"/>
    <mergeCell ref="F25:G25"/>
    <mergeCell ref="H25:I25"/>
    <mergeCell ref="F26:G26"/>
    <mergeCell ref="H26:I26"/>
    <mergeCell ref="F27:G27"/>
    <mergeCell ref="H27:I27"/>
    <mergeCell ref="F28:G28"/>
    <mergeCell ref="H28:I28"/>
    <mergeCell ref="F29:G29"/>
    <mergeCell ref="H29:I29"/>
    <mergeCell ref="F30:G30"/>
    <mergeCell ref="H30:I30"/>
    <mergeCell ref="F31:G31"/>
    <mergeCell ref="H31:I31"/>
    <mergeCell ref="A42:B42"/>
    <mergeCell ref="A50:B50"/>
    <mergeCell ref="D50:E50"/>
    <mergeCell ref="A57:B5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opLeftCell="A28" workbookViewId="0">
      <selection activeCell="A41" sqref="A41"/>
    </sheetView>
  </sheetViews>
  <sheetFormatPr defaultColWidth="9" defaultRowHeight="13.5" outlineLevelCol="6"/>
  <cols>
    <col min="1" max="1" width="17.75" customWidth="1"/>
  </cols>
  <sheetData>
    <row r="1" spans="1:6">
      <c r="A1" s="2" t="s">
        <v>38</v>
      </c>
      <c r="B1" s="1" t="s">
        <v>103</v>
      </c>
      <c r="C1" s="1" t="s">
        <v>104</v>
      </c>
      <c r="D1" s="1" t="s">
        <v>105</v>
      </c>
      <c r="E1" s="1" t="s">
        <v>106</v>
      </c>
      <c r="F1" s="1" t="s">
        <v>34</v>
      </c>
    </row>
    <row r="2" spans="1:6">
      <c r="A2" s="2" t="s">
        <v>33</v>
      </c>
      <c r="B2" s="2">
        <v>100000</v>
      </c>
      <c r="C2" s="2">
        <v>70000</v>
      </c>
      <c r="D2" s="2">
        <v>50000</v>
      </c>
      <c r="E2" s="2">
        <v>80000</v>
      </c>
      <c r="F2" s="2">
        <f>B2+C2+D2+E2</f>
        <v>300000</v>
      </c>
    </row>
    <row r="3" spans="1:6">
      <c r="A3" s="2" t="s">
        <v>32</v>
      </c>
      <c r="B3" s="2">
        <v>100000</v>
      </c>
      <c r="C3" s="2">
        <v>80000</v>
      </c>
      <c r="D3" s="2">
        <v>60000</v>
      </c>
      <c r="E3" s="2">
        <v>60000</v>
      </c>
      <c r="F3" s="2">
        <f t="shared" ref="F3:F9" si="0">B3+C3+D3+E3</f>
        <v>300000</v>
      </c>
    </row>
    <row r="4" spans="1:6">
      <c r="A4" s="2" t="s">
        <v>107</v>
      </c>
      <c r="B4" s="2">
        <v>100000</v>
      </c>
      <c r="C4" s="2">
        <v>100000</v>
      </c>
      <c r="D4" s="2">
        <v>40000</v>
      </c>
      <c r="E4" s="2">
        <v>60000</v>
      </c>
      <c r="F4" s="2">
        <f t="shared" si="0"/>
        <v>300000</v>
      </c>
    </row>
    <row r="5" spans="1:6">
      <c r="A5" s="2" t="s">
        <v>108</v>
      </c>
      <c r="B5" s="2">
        <v>300000</v>
      </c>
      <c r="C5" s="2">
        <v>250000</v>
      </c>
      <c r="D5" s="2">
        <v>150000</v>
      </c>
      <c r="E5" s="2">
        <v>200000</v>
      </c>
      <c r="F5" s="2">
        <f t="shared" si="0"/>
        <v>900000</v>
      </c>
    </row>
    <row r="6" spans="1:6">
      <c r="A6" s="2" t="s">
        <v>109</v>
      </c>
      <c r="B6" s="2">
        <v>150000</v>
      </c>
      <c r="C6" s="2">
        <v>125000</v>
      </c>
      <c r="D6" s="2">
        <v>75000</v>
      </c>
      <c r="E6" s="2">
        <v>100000</v>
      </c>
      <c r="F6" s="2">
        <f t="shared" si="0"/>
        <v>450000</v>
      </c>
    </row>
    <row r="7" spans="1:6">
      <c r="A7" s="2" t="s">
        <v>110</v>
      </c>
      <c r="B7" s="2">
        <v>450000</v>
      </c>
      <c r="C7" s="2">
        <v>375000</v>
      </c>
      <c r="D7" s="2">
        <v>225000</v>
      </c>
      <c r="E7" s="2">
        <v>300000</v>
      </c>
      <c r="F7" s="2">
        <f t="shared" si="0"/>
        <v>1350000</v>
      </c>
    </row>
    <row r="8" spans="1:6">
      <c r="A8" s="2" t="s">
        <v>111</v>
      </c>
      <c r="B8" s="2">
        <v>470000</v>
      </c>
      <c r="C8" s="2">
        <v>550000</v>
      </c>
      <c r="D8" s="2">
        <v>200000</v>
      </c>
      <c r="E8" s="2">
        <v>380000</v>
      </c>
      <c r="F8" s="2">
        <f t="shared" si="0"/>
        <v>1600000</v>
      </c>
    </row>
    <row r="9" spans="1:6">
      <c r="A9" s="2" t="s">
        <v>71</v>
      </c>
      <c r="B9" s="2">
        <v>20000</v>
      </c>
      <c r="C9" s="2">
        <v>175000</v>
      </c>
      <c r="D9" s="2">
        <v>-25000</v>
      </c>
      <c r="E9" s="2">
        <v>80000</v>
      </c>
      <c r="F9" s="4">
        <f t="shared" si="0"/>
        <v>250000</v>
      </c>
    </row>
    <row r="11" spans="1:2">
      <c r="A11" t="s">
        <v>112</v>
      </c>
      <c r="B11">
        <f>F6/F5</f>
        <v>0.5</v>
      </c>
    </row>
    <row r="13" spans="1:1">
      <c r="A13" t="s">
        <v>113</v>
      </c>
    </row>
    <row r="14" spans="1:6">
      <c r="A14" s="2" t="s">
        <v>38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34</v>
      </c>
    </row>
    <row r="15" spans="1:6">
      <c r="A15" s="2" t="s">
        <v>33</v>
      </c>
      <c r="B15" s="2">
        <v>100000</v>
      </c>
      <c r="C15" s="2">
        <v>70000</v>
      </c>
      <c r="D15" s="2">
        <v>0</v>
      </c>
      <c r="E15" s="2">
        <v>80000</v>
      </c>
      <c r="F15" s="2">
        <f>B15+C15+D15+E15</f>
        <v>250000</v>
      </c>
    </row>
    <row r="16" spans="1:6">
      <c r="A16" s="2" t="s">
        <v>32</v>
      </c>
      <c r="B16" s="2">
        <v>100000</v>
      </c>
      <c r="C16" s="2">
        <v>80000</v>
      </c>
      <c r="D16" s="2">
        <v>0</v>
      </c>
      <c r="E16" s="2">
        <v>60000</v>
      </c>
      <c r="F16" s="2">
        <f t="shared" ref="F16:F22" si="1">B16+C16+D16+E16</f>
        <v>240000</v>
      </c>
    </row>
    <row r="17" spans="1:6">
      <c r="A17" s="2" t="s">
        <v>107</v>
      </c>
      <c r="B17" s="2">
        <v>100000</v>
      </c>
      <c r="C17" s="2">
        <v>100000</v>
      </c>
      <c r="D17" s="2">
        <v>0</v>
      </c>
      <c r="E17" s="2">
        <v>60000</v>
      </c>
      <c r="F17" s="2">
        <f t="shared" si="1"/>
        <v>260000</v>
      </c>
    </row>
    <row r="18" spans="1:6">
      <c r="A18" s="2" t="s">
        <v>108</v>
      </c>
      <c r="B18" s="2">
        <v>300000</v>
      </c>
      <c r="C18" s="2">
        <v>250000</v>
      </c>
      <c r="D18" s="2">
        <v>0</v>
      </c>
      <c r="E18" s="2">
        <v>200000</v>
      </c>
      <c r="F18" s="2">
        <f t="shared" si="1"/>
        <v>750000</v>
      </c>
    </row>
    <row r="19" spans="1:6">
      <c r="A19" s="2" t="s">
        <v>109</v>
      </c>
      <c r="B19" s="2">
        <f>B18*$B$24</f>
        <v>180000</v>
      </c>
      <c r="C19" s="2">
        <f t="shared" ref="C19:E19" si="2">C18*$B$24</f>
        <v>150000</v>
      </c>
      <c r="D19" s="2">
        <f t="shared" si="2"/>
        <v>0</v>
      </c>
      <c r="E19" s="2">
        <f t="shared" si="2"/>
        <v>120000</v>
      </c>
      <c r="F19" s="2">
        <f>F6</f>
        <v>450000</v>
      </c>
    </row>
    <row r="20" spans="1:6">
      <c r="A20" s="2" t="s">
        <v>110</v>
      </c>
      <c r="B20" s="2">
        <f>SUM(B18:B19)</f>
        <v>480000</v>
      </c>
      <c r="C20" s="2">
        <f t="shared" ref="C20:F20" si="3">SUM(C18:C19)</f>
        <v>400000</v>
      </c>
      <c r="D20" s="2">
        <f t="shared" si="3"/>
        <v>0</v>
      </c>
      <c r="E20" s="2">
        <f t="shared" si="3"/>
        <v>320000</v>
      </c>
      <c r="F20" s="2">
        <f t="shared" si="3"/>
        <v>1200000</v>
      </c>
    </row>
    <row r="21" spans="1:6">
      <c r="A21" s="2" t="s">
        <v>111</v>
      </c>
      <c r="B21" s="2">
        <v>470000</v>
      </c>
      <c r="C21" s="2">
        <v>550000</v>
      </c>
      <c r="D21" s="2">
        <v>0</v>
      </c>
      <c r="E21" s="2">
        <v>380000</v>
      </c>
      <c r="F21" s="2">
        <f t="shared" si="1"/>
        <v>1400000</v>
      </c>
    </row>
    <row r="22" spans="1:7">
      <c r="A22" s="2" t="s">
        <v>71</v>
      </c>
      <c r="B22" s="2">
        <f>B21-B20</f>
        <v>-10000</v>
      </c>
      <c r="C22" s="2">
        <f t="shared" ref="C22:E22" si="4">C21-C20</f>
        <v>150000</v>
      </c>
      <c r="D22" s="2">
        <f t="shared" si="4"/>
        <v>0</v>
      </c>
      <c r="E22" s="2">
        <f t="shared" si="4"/>
        <v>60000</v>
      </c>
      <c r="F22" s="4">
        <f t="shared" si="1"/>
        <v>200000</v>
      </c>
      <c r="G22" s="17" t="s">
        <v>114</v>
      </c>
    </row>
    <row r="24" spans="1:2">
      <c r="A24" t="s">
        <v>112</v>
      </c>
      <c r="B24">
        <f>F19/F18</f>
        <v>0.6</v>
      </c>
    </row>
    <row r="26" spans="1:1">
      <c r="A26" s="17" t="s">
        <v>115</v>
      </c>
    </row>
    <row r="27" spans="1:6">
      <c r="A27" s="2" t="s">
        <v>38</v>
      </c>
      <c r="B27" s="1" t="s">
        <v>103</v>
      </c>
      <c r="C27" s="1" t="s">
        <v>104</v>
      </c>
      <c r="D27" s="1" t="s">
        <v>105</v>
      </c>
      <c r="E27" s="1" t="s">
        <v>106</v>
      </c>
      <c r="F27" s="1" t="s">
        <v>34</v>
      </c>
    </row>
    <row r="28" spans="1:6">
      <c r="A28" s="2" t="s">
        <v>111</v>
      </c>
      <c r="B28" s="2">
        <v>470000</v>
      </c>
      <c r="C28" s="2">
        <v>550000</v>
      </c>
      <c r="D28" s="2">
        <v>200000</v>
      </c>
      <c r="E28" s="2">
        <v>380000</v>
      </c>
      <c r="F28" s="2">
        <f>B28+C28+D28+E28</f>
        <v>1600000</v>
      </c>
    </row>
    <row r="29" spans="1:6">
      <c r="A29" s="2" t="s">
        <v>33</v>
      </c>
      <c r="B29" s="2">
        <v>100000</v>
      </c>
      <c r="C29" s="2">
        <v>70000</v>
      </c>
      <c r="D29" s="2">
        <v>50000</v>
      </c>
      <c r="E29" s="2">
        <v>80000</v>
      </c>
      <c r="F29" s="2">
        <f>B29+C29+D29+E29</f>
        <v>300000</v>
      </c>
    </row>
    <row r="30" spans="1:6">
      <c r="A30" s="2" t="s">
        <v>32</v>
      </c>
      <c r="B30" s="2">
        <v>100000</v>
      </c>
      <c r="C30" s="2">
        <v>80000</v>
      </c>
      <c r="D30" s="2">
        <v>60000</v>
      </c>
      <c r="E30" s="2">
        <v>60000</v>
      </c>
      <c r="F30" s="2">
        <f t="shared" ref="F30:F35" si="5">B30+C30+D30+E30</f>
        <v>300000</v>
      </c>
    </row>
    <row r="31" spans="1:6">
      <c r="A31" s="2" t="s">
        <v>107</v>
      </c>
      <c r="B31" s="2">
        <v>100000</v>
      </c>
      <c r="C31" s="2">
        <v>100000</v>
      </c>
      <c r="D31" s="2">
        <v>40000</v>
      </c>
      <c r="E31" s="2">
        <v>60000</v>
      </c>
      <c r="F31" s="2">
        <f t="shared" si="5"/>
        <v>300000</v>
      </c>
    </row>
    <row r="32" spans="1:6">
      <c r="A32" s="2" t="s">
        <v>108</v>
      </c>
      <c r="B32" s="2">
        <v>300000</v>
      </c>
      <c r="C32" s="2">
        <v>250000</v>
      </c>
      <c r="D32" s="2">
        <v>150000</v>
      </c>
      <c r="E32" s="2">
        <v>200000</v>
      </c>
      <c r="F32" s="2">
        <f t="shared" si="5"/>
        <v>900000</v>
      </c>
    </row>
    <row r="33" spans="1:6">
      <c r="A33" s="19" t="s">
        <v>116</v>
      </c>
      <c r="B33" s="2">
        <f>B28-B32</f>
        <v>170000</v>
      </c>
      <c r="C33" s="2">
        <f t="shared" ref="C33:F33" si="6">C28-C32</f>
        <v>300000</v>
      </c>
      <c r="D33" s="2">
        <f t="shared" si="6"/>
        <v>50000</v>
      </c>
      <c r="E33" s="2">
        <f t="shared" si="6"/>
        <v>180000</v>
      </c>
      <c r="F33" s="2">
        <f t="shared" si="6"/>
        <v>700000</v>
      </c>
    </row>
    <row r="34" spans="1:6">
      <c r="A34" s="2" t="s">
        <v>109</v>
      </c>
      <c r="B34" s="2">
        <v>150000</v>
      </c>
      <c r="C34" s="2">
        <v>125000</v>
      </c>
      <c r="D34" s="2">
        <v>75000</v>
      </c>
      <c r="E34" s="2">
        <v>100000</v>
      </c>
      <c r="F34" s="2">
        <f t="shared" si="5"/>
        <v>450000</v>
      </c>
    </row>
    <row r="35" spans="1:7">
      <c r="A35" s="2" t="s">
        <v>71</v>
      </c>
      <c r="B35" s="2">
        <v>20000</v>
      </c>
      <c r="C35" s="2">
        <v>175000</v>
      </c>
      <c r="D35" s="2">
        <v>-25000</v>
      </c>
      <c r="E35" s="2">
        <v>80000</v>
      </c>
      <c r="F35" s="4">
        <f t="shared" si="5"/>
        <v>250000</v>
      </c>
      <c r="G35" s="17" t="s">
        <v>117</v>
      </c>
    </row>
    <row r="36" spans="1:5">
      <c r="A36" s="34" t="s">
        <v>118</v>
      </c>
      <c r="B36">
        <f>B33/B28</f>
        <v>0.361702127659574</v>
      </c>
      <c r="C36">
        <f t="shared" ref="C36:E36" si="7">C33/C28</f>
        <v>0.545454545454545</v>
      </c>
      <c r="D36">
        <f t="shared" si="7"/>
        <v>0.25</v>
      </c>
      <c r="E36">
        <f t="shared" si="7"/>
        <v>0.473684210526316</v>
      </c>
    </row>
    <row r="38" spans="1:1">
      <c r="A38" s="17" t="s">
        <v>119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selection activeCell="A26" sqref="A26"/>
    </sheetView>
  </sheetViews>
  <sheetFormatPr defaultColWidth="9" defaultRowHeight="13.5" outlineLevelCol="6"/>
  <cols>
    <col min="1" max="1" width="25.25" customWidth="1"/>
    <col min="2" max="2" width="14.625" customWidth="1"/>
    <col min="3" max="3" width="12.875" customWidth="1"/>
    <col min="4" max="4" width="12.5" customWidth="1"/>
    <col min="5" max="5" width="13" customWidth="1"/>
    <col min="6" max="6" width="12.125" customWidth="1"/>
    <col min="7" max="7" width="18.375" customWidth="1"/>
  </cols>
  <sheetData>
    <row r="1" ht="25.5" spans="1:7">
      <c r="A1" s="24" t="s">
        <v>120</v>
      </c>
      <c r="B1" s="24"/>
      <c r="C1" s="24"/>
      <c r="D1" s="24"/>
      <c r="E1" s="24"/>
      <c r="F1" s="24"/>
      <c r="G1" s="24"/>
    </row>
    <row r="2" ht="22.5" spans="1:7">
      <c r="A2" s="25" t="s">
        <v>38</v>
      </c>
      <c r="B2" s="25" t="s">
        <v>121</v>
      </c>
      <c r="C2" s="25" t="s">
        <v>122</v>
      </c>
      <c r="D2" s="25" t="s">
        <v>123</v>
      </c>
      <c r="E2" s="25" t="s">
        <v>124</v>
      </c>
      <c r="F2" s="25" t="s">
        <v>125</v>
      </c>
      <c r="G2" s="25" t="s">
        <v>126</v>
      </c>
    </row>
    <row r="3" ht="22.5" spans="1:7">
      <c r="A3" s="25" t="s">
        <v>39</v>
      </c>
      <c r="B3" s="25">
        <v>15000</v>
      </c>
      <c r="C3" s="25">
        <v>255000</v>
      </c>
      <c r="D3" s="25">
        <v>1125000</v>
      </c>
      <c r="E3" s="25">
        <v>135000</v>
      </c>
      <c r="F3" s="25" t="s">
        <v>127</v>
      </c>
      <c r="G3" s="25" t="s">
        <v>128</v>
      </c>
    </row>
    <row r="4" ht="22.5" spans="1:7">
      <c r="A4" s="25" t="s">
        <v>2</v>
      </c>
      <c r="B4" s="25">
        <v>250</v>
      </c>
      <c r="C4" s="25">
        <f>C3/B3</f>
        <v>17</v>
      </c>
      <c r="D4" s="25">
        <f>D3/B3</f>
        <v>75</v>
      </c>
      <c r="E4" s="25">
        <f>E3/B3</f>
        <v>9</v>
      </c>
      <c r="F4" s="25"/>
      <c r="G4" s="25"/>
    </row>
    <row r="7" ht="22.5" spans="1:6">
      <c r="A7" s="20" t="s">
        <v>129</v>
      </c>
      <c r="B7">
        <v>5000</v>
      </c>
      <c r="D7" s="26" t="s">
        <v>130</v>
      </c>
      <c r="E7" s="26"/>
      <c r="F7" s="27"/>
    </row>
    <row r="8" ht="22.5" spans="1:6">
      <c r="A8" s="28" t="s">
        <v>131</v>
      </c>
      <c r="B8">
        <v>130</v>
      </c>
      <c r="D8" s="29" t="s">
        <v>38</v>
      </c>
      <c r="E8" s="29" t="s">
        <v>132</v>
      </c>
      <c r="F8" s="30" t="s">
        <v>3</v>
      </c>
    </row>
    <row r="9" ht="22.5" spans="1:6">
      <c r="A9" s="17" t="s">
        <v>133</v>
      </c>
      <c r="B9">
        <v>40000</v>
      </c>
      <c r="D9" s="29" t="s">
        <v>32</v>
      </c>
      <c r="E9" s="29">
        <v>17</v>
      </c>
      <c r="F9" s="27"/>
    </row>
    <row r="10" ht="22.5" spans="1:6">
      <c r="A10" s="17" t="s">
        <v>134</v>
      </c>
      <c r="B10">
        <v>15000</v>
      </c>
      <c r="D10" s="29" t="s">
        <v>33</v>
      </c>
      <c r="E10" s="29">
        <v>75</v>
      </c>
      <c r="F10" s="27"/>
    </row>
    <row r="11" ht="22.5" spans="1:6">
      <c r="A11" s="17" t="s">
        <v>135</v>
      </c>
      <c r="B11">
        <f>B10/B9</f>
        <v>0.375</v>
      </c>
      <c r="D11" s="29" t="s">
        <v>136</v>
      </c>
      <c r="E11" s="29"/>
      <c r="F11" s="27"/>
    </row>
    <row r="12" ht="22.5" spans="1:6">
      <c r="A12" s="17" t="s">
        <v>137</v>
      </c>
      <c r="B12" s="17">
        <f>B9-B10</f>
        <v>25000</v>
      </c>
      <c r="D12" s="29" t="s">
        <v>138</v>
      </c>
      <c r="E12" s="29">
        <v>9</v>
      </c>
      <c r="F12" s="27">
        <f>E9+E10+E12</f>
        <v>101</v>
      </c>
    </row>
    <row r="13" ht="22.5" spans="1:6">
      <c r="A13" s="17" t="s">
        <v>139</v>
      </c>
      <c r="B13">
        <v>20000</v>
      </c>
      <c r="D13" s="29" t="s">
        <v>140</v>
      </c>
      <c r="E13" s="29">
        <v>45</v>
      </c>
      <c r="F13" s="27"/>
    </row>
    <row r="14" ht="22.5" spans="4:6">
      <c r="D14" s="29" t="s">
        <v>141</v>
      </c>
      <c r="E14" s="29">
        <v>146</v>
      </c>
      <c r="F14" s="27"/>
    </row>
    <row r="16" ht="20.25" spans="1:2">
      <c r="A16" s="31" t="s">
        <v>142</v>
      </c>
      <c r="B16" s="31"/>
    </row>
    <row r="17" ht="22.5" spans="1:2">
      <c r="A17" s="25" t="s">
        <v>38</v>
      </c>
      <c r="B17" s="25" t="s">
        <v>46</v>
      </c>
    </row>
    <row r="18" ht="22.5" spans="1:2">
      <c r="A18" s="25" t="s">
        <v>85</v>
      </c>
      <c r="B18" s="25">
        <f>B7*B8</f>
        <v>650000</v>
      </c>
    </row>
    <row r="19" ht="22.5" spans="1:2">
      <c r="A19" s="25" t="s">
        <v>86</v>
      </c>
      <c r="B19" s="25">
        <f>B20+B21+B22</f>
        <v>525000</v>
      </c>
    </row>
    <row r="20" ht="22.5" spans="1:2">
      <c r="A20" s="25" t="s">
        <v>92</v>
      </c>
      <c r="B20" s="32">
        <f>B7*F12</f>
        <v>505000</v>
      </c>
    </row>
    <row r="21" ht="22.5" spans="1:2">
      <c r="A21" s="25" t="s">
        <v>143</v>
      </c>
      <c r="B21" s="32">
        <f>B13</f>
        <v>20000</v>
      </c>
    </row>
    <row r="22" ht="22.5" spans="1:2">
      <c r="A22" s="25" t="s">
        <v>93</v>
      </c>
      <c r="B22" s="32">
        <v>0</v>
      </c>
    </row>
    <row r="23" ht="22.5" spans="1:2">
      <c r="A23" s="25" t="s">
        <v>87</v>
      </c>
      <c r="B23" s="25">
        <f>B18-B19</f>
        <v>125000</v>
      </c>
    </row>
    <row r="26" ht="22.5" spans="1:1">
      <c r="A26" s="33" t="s">
        <v>144</v>
      </c>
    </row>
  </sheetData>
  <mergeCells count="3">
    <mergeCell ref="A1:G1"/>
    <mergeCell ref="D7:E7"/>
    <mergeCell ref="A16:B16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selection activeCell="A27" sqref="A27"/>
    </sheetView>
  </sheetViews>
  <sheetFormatPr defaultColWidth="9" defaultRowHeight="13.5"/>
  <cols>
    <col min="1" max="1" width="17" customWidth="1"/>
    <col min="4" max="4" width="16.25" customWidth="1"/>
  </cols>
  <sheetData>
    <row r="1" spans="1:1">
      <c r="A1" s="17" t="s">
        <v>145</v>
      </c>
    </row>
    <row r="2" spans="1:2">
      <c r="A2" s="18" t="s">
        <v>146</v>
      </c>
      <c r="B2" s="18"/>
    </row>
    <row r="3" spans="1:8">
      <c r="A3" s="19" t="s">
        <v>147</v>
      </c>
      <c r="B3" s="2">
        <v>4000</v>
      </c>
      <c r="D3" s="19" t="s">
        <v>148</v>
      </c>
      <c r="E3" s="2">
        <v>2000</v>
      </c>
      <c r="G3" s="17" t="s">
        <v>149</v>
      </c>
      <c r="H3">
        <f>B11*0.8</f>
        <v>16</v>
      </c>
    </row>
    <row r="4" spans="1:5">
      <c r="A4" s="19" t="s">
        <v>150</v>
      </c>
      <c r="B4" s="2">
        <v>900</v>
      </c>
      <c r="D4" s="19" t="s">
        <v>151</v>
      </c>
      <c r="E4" s="2">
        <v>2</v>
      </c>
    </row>
    <row r="5" spans="1:5">
      <c r="A5" s="19" t="s">
        <v>148</v>
      </c>
      <c r="B5" s="2">
        <f>E3*E4</f>
        <v>4000</v>
      </c>
      <c r="D5" s="19" t="s">
        <v>152</v>
      </c>
      <c r="E5" s="2">
        <v>500</v>
      </c>
    </row>
    <row r="6" spans="1:5">
      <c r="A6" s="19" t="s">
        <v>152</v>
      </c>
      <c r="B6" s="2">
        <f>E5*E6</f>
        <v>25000</v>
      </c>
      <c r="D6" s="19" t="s">
        <v>151</v>
      </c>
      <c r="E6" s="2">
        <v>50</v>
      </c>
    </row>
    <row r="7" spans="1:2">
      <c r="A7" s="19" t="s">
        <v>34</v>
      </c>
      <c r="B7" s="2">
        <f>B3+B4+B5+B6</f>
        <v>33900</v>
      </c>
    </row>
    <row r="9" spans="1:9">
      <c r="A9" s="17" t="s">
        <v>153</v>
      </c>
      <c r="D9" s="17" t="s">
        <v>154</v>
      </c>
      <c r="G9" s="17" t="s">
        <v>155</v>
      </c>
      <c r="I9" s="17" t="s">
        <v>156</v>
      </c>
    </row>
    <row r="10" spans="1:9">
      <c r="A10" s="20" t="s">
        <v>157</v>
      </c>
      <c r="B10">
        <v>12</v>
      </c>
      <c r="D10" s="20" t="s">
        <v>158</v>
      </c>
      <c r="E10">
        <v>30</v>
      </c>
      <c r="G10" s="20" t="s">
        <v>158</v>
      </c>
      <c r="H10">
        <v>30</v>
      </c>
      <c r="I10">
        <v>30</v>
      </c>
    </row>
    <row r="11" spans="1:9">
      <c r="A11" s="20" t="s">
        <v>159</v>
      </c>
      <c r="B11">
        <v>20</v>
      </c>
      <c r="D11" s="20" t="s">
        <v>160</v>
      </c>
      <c r="E11">
        <v>250</v>
      </c>
      <c r="G11" s="20" t="s">
        <v>160</v>
      </c>
      <c r="H11">
        <v>360</v>
      </c>
      <c r="I11">
        <v>400</v>
      </c>
    </row>
    <row r="12" spans="1:9">
      <c r="A12" s="20" t="s">
        <v>6</v>
      </c>
      <c r="B12">
        <f>B11-B10</f>
        <v>8</v>
      </c>
      <c r="D12" s="20" t="s">
        <v>34</v>
      </c>
      <c r="E12">
        <f>E10*E11</f>
        <v>7500</v>
      </c>
      <c r="G12" s="20" t="s">
        <v>34</v>
      </c>
      <c r="H12">
        <f>H10*H11</f>
        <v>10800</v>
      </c>
      <c r="I12">
        <f>I10*I11</f>
        <v>12000</v>
      </c>
    </row>
    <row r="14" spans="1:4">
      <c r="A14" s="17" t="s">
        <v>161</v>
      </c>
      <c r="D14" s="17" t="s">
        <v>162</v>
      </c>
    </row>
    <row r="15" spans="1:5">
      <c r="A15" s="21" t="s">
        <v>38</v>
      </c>
      <c r="B15" s="21" t="s">
        <v>46</v>
      </c>
      <c r="D15" s="21" t="s">
        <v>38</v>
      </c>
      <c r="E15" s="21" t="s">
        <v>46</v>
      </c>
    </row>
    <row r="16" spans="1:5">
      <c r="A16" s="19" t="s">
        <v>163</v>
      </c>
      <c r="B16" s="2">
        <f>E12*B11</f>
        <v>150000</v>
      </c>
      <c r="D16" s="19" t="s">
        <v>163</v>
      </c>
      <c r="E16" s="2">
        <f>H3*H12</f>
        <v>172800</v>
      </c>
    </row>
    <row r="17" spans="1:5">
      <c r="A17" s="22" t="s">
        <v>164</v>
      </c>
      <c r="B17" s="2">
        <f>B10*E12</f>
        <v>90000</v>
      </c>
      <c r="D17" s="22" t="s">
        <v>164</v>
      </c>
      <c r="E17" s="2">
        <f>H12*B10</f>
        <v>129600</v>
      </c>
    </row>
    <row r="18" spans="1:5">
      <c r="A18" s="19" t="s">
        <v>116</v>
      </c>
      <c r="B18" s="2">
        <f>B16-B17</f>
        <v>60000</v>
      </c>
      <c r="D18" s="19" t="s">
        <v>116</v>
      </c>
      <c r="E18" s="2">
        <f>E16-E17</f>
        <v>43200</v>
      </c>
    </row>
    <row r="19" spans="1:5">
      <c r="A19" s="22" t="s">
        <v>165</v>
      </c>
      <c r="B19" s="2">
        <f>B7</f>
        <v>33900</v>
      </c>
      <c r="D19" s="22" t="s">
        <v>165</v>
      </c>
      <c r="E19" s="2">
        <f>B7</f>
        <v>33900</v>
      </c>
    </row>
    <row r="20" spans="1:5">
      <c r="A20" s="19" t="s">
        <v>71</v>
      </c>
      <c r="B20" s="2">
        <f>B18-B19</f>
        <v>26100</v>
      </c>
      <c r="D20" s="19" t="s">
        <v>71</v>
      </c>
      <c r="E20" s="2">
        <f>E18-E19</f>
        <v>9300</v>
      </c>
    </row>
    <row r="22" spans="1:1">
      <c r="A22" s="17" t="s">
        <v>166</v>
      </c>
    </row>
    <row r="24" spans="1:1">
      <c r="A24" s="17" t="s">
        <v>167</v>
      </c>
    </row>
    <row r="26" spans="1:2">
      <c r="A26" s="17" t="s">
        <v>168</v>
      </c>
      <c r="B26" s="23">
        <f>B18/H12+B10</f>
        <v>17.5555555555556</v>
      </c>
    </row>
    <row r="27" spans="1:1">
      <c r="A27" s="17" t="s">
        <v>169</v>
      </c>
    </row>
  </sheetData>
  <mergeCells count="1">
    <mergeCell ref="A2:B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10" workbookViewId="0">
      <selection activeCell="L35" sqref="L35"/>
    </sheetView>
  </sheetViews>
  <sheetFormatPr defaultColWidth="9" defaultRowHeight="13.5"/>
  <cols>
    <col min="1" max="1" width="28.125" customWidth="1"/>
    <col min="2" max="2" width="12.625" customWidth="1"/>
    <col min="4" max="4" width="20.375" customWidth="1"/>
    <col min="5" max="5" width="14" customWidth="1"/>
    <col min="9" max="9" width="22.25" customWidth="1"/>
    <col min="10" max="10" width="14.25" customWidth="1"/>
    <col min="12" max="12" width="20.625" customWidth="1"/>
    <col min="13" max="13" width="23.875" customWidth="1"/>
  </cols>
  <sheetData>
    <row r="1" ht="14.25" spans="1:9">
      <c r="A1" t="s">
        <v>170</v>
      </c>
      <c r="I1" t="s">
        <v>171</v>
      </c>
    </row>
    <row r="2" ht="14.25" spans="1:13">
      <c r="A2" s="11" t="s">
        <v>172</v>
      </c>
      <c r="B2" s="11" t="s">
        <v>173</v>
      </c>
      <c r="D2" s="12" t="s">
        <v>174</v>
      </c>
      <c r="E2" s="12"/>
      <c r="I2" s="12" t="s">
        <v>175</v>
      </c>
      <c r="J2" s="12"/>
      <c r="L2" s="12" t="s">
        <v>176</v>
      </c>
      <c r="M2" s="12"/>
    </row>
    <row r="3" ht="15.75" spans="1:13">
      <c r="A3" s="13" t="s">
        <v>177</v>
      </c>
      <c r="B3" s="14">
        <v>3</v>
      </c>
      <c r="D3" s="15" t="s">
        <v>38</v>
      </c>
      <c r="E3" s="15" t="s">
        <v>46</v>
      </c>
      <c r="I3" s="15" t="s">
        <v>38</v>
      </c>
      <c r="J3" s="15" t="s">
        <v>46</v>
      </c>
      <c r="L3" s="15" t="s">
        <v>38</v>
      </c>
      <c r="M3" s="15" t="s">
        <v>46</v>
      </c>
    </row>
    <row r="4" ht="15.75" spans="1:13">
      <c r="A4" s="13" t="s">
        <v>178</v>
      </c>
      <c r="B4" s="14">
        <v>2</v>
      </c>
      <c r="D4" s="15" t="s">
        <v>111</v>
      </c>
      <c r="E4" s="15">
        <f>B3*B8</f>
        <v>4500</v>
      </c>
      <c r="I4" s="15" t="s">
        <v>111</v>
      </c>
      <c r="J4" s="15">
        <f>B3*B14</f>
        <v>7200</v>
      </c>
      <c r="L4" s="15" t="s">
        <v>111</v>
      </c>
      <c r="M4" s="15">
        <f>B3*B14</f>
        <v>7200</v>
      </c>
    </row>
    <row r="5" ht="18" customHeight="1" spans="1:13">
      <c r="A5" s="13" t="s">
        <v>179</v>
      </c>
      <c r="B5" s="14">
        <v>0.5</v>
      </c>
      <c r="D5" s="15" t="s">
        <v>180</v>
      </c>
      <c r="E5" s="15">
        <f>E6+E7-E8</f>
        <v>3840</v>
      </c>
      <c r="I5" s="15" t="s">
        <v>180</v>
      </c>
      <c r="J5" s="15">
        <f>J6+J7-J8</f>
        <v>5640</v>
      </c>
      <c r="L5" s="15" t="s">
        <v>164</v>
      </c>
      <c r="M5" s="15">
        <f>B22*B14</f>
        <v>6000</v>
      </c>
    </row>
    <row r="6" ht="15.75" spans="1:13">
      <c r="A6" s="13" t="s">
        <v>181</v>
      </c>
      <c r="B6" s="14">
        <v>840</v>
      </c>
      <c r="D6" s="15" t="s">
        <v>182</v>
      </c>
      <c r="E6" s="15">
        <v>0</v>
      </c>
      <c r="I6" s="16" t="s">
        <v>182</v>
      </c>
      <c r="J6" s="15">
        <v>0</v>
      </c>
      <c r="L6" s="15" t="s">
        <v>116</v>
      </c>
      <c r="M6" s="15">
        <f>M4-M5</f>
        <v>1200</v>
      </c>
    </row>
    <row r="7" ht="22" customHeight="1" spans="1:13">
      <c r="A7" s="13" t="s">
        <v>183</v>
      </c>
      <c r="B7" s="14">
        <v>110</v>
      </c>
      <c r="D7" s="15" t="s">
        <v>184</v>
      </c>
      <c r="E7" s="15">
        <f>B4*B9+B6</f>
        <v>3840</v>
      </c>
      <c r="I7" s="16" t="s">
        <v>184</v>
      </c>
      <c r="J7" s="15">
        <f>B33*B4+B6</f>
        <v>5640</v>
      </c>
      <c r="L7" s="15" t="s">
        <v>185</v>
      </c>
      <c r="M7" s="15">
        <f>M8+M9</f>
        <v>1180</v>
      </c>
    </row>
    <row r="8" ht="15.75" spans="1:13">
      <c r="A8" s="13" t="s">
        <v>186</v>
      </c>
      <c r="B8" s="14">
        <v>1500</v>
      </c>
      <c r="D8" s="15" t="s">
        <v>187</v>
      </c>
      <c r="E8" s="15">
        <v>0</v>
      </c>
      <c r="I8" s="16" t="s">
        <v>187</v>
      </c>
      <c r="J8" s="15">
        <v>0</v>
      </c>
      <c r="L8" s="16" t="s">
        <v>188</v>
      </c>
      <c r="M8" s="15">
        <f>B6</f>
        <v>840</v>
      </c>
    </row>
    <row r="9" ht="15.75" spans="1:13">
      <c r="A9" s="13" t="s">
        <v>189</v>
      </c>
      <c r="B9" s="14">
        <v>1500</v>
      </c>
      <c r="D9" s="15" t="s">
        <v>190</v>
      </c>
      <c r="E9" s="15">
        <f>E4-E5</f>
        <v>660</v>
      </c>
      <c r="I9" s="15" t="s">
        <v>190</v>
      </c>
      <c r="J9" s="15">
        <f>J4-J5</f>
        <v>1560</v>
      </c>
      <c r="L9" s="16" t="s">
        <v>191</v>
      </c>
      <c r="M9" s="15">
        <f>B7+B26</f>
        <v>340</v>
      </c>
    </row>
    <row r="10" spans="4:13">
      <c r="D10" s="15" t="s">
        <v>192</v>
      </c>
      <c r="E10" s="15">
        <f>SUM(E11:E12)</f>
        <v>860</v>
      </c>
      <c r="I10" s="15" t="s">
        <v>192</v>
      </c>
      <c r="J10" s="15">
        <f>SUM(J11:J12)</f>
        <v>1540</v>
      </c>
      <c r="L10" s="15" t="s">
        <v>71</v>
      </c>
      <c r="M10" s="15">
        <f>M6-M7</f>
        <v>20</v>
      </c>
    </row>
    <row r="11" spans="1:10">
      <c r="A11" t="s">
        <v>193</v>
      </c>
      <c r="D11" s="15" t="s">
        <v>194</v>
      </c>
      <c r="E11" s="15">
        <f>B5*B8</f>
        <v>750</v>
      </c>
      <c r="I11" s="16" t="s">
        <v>194</v>
      </c>
      <c r="J11" s="15">
        <f>B14*B5</f>
        <v>1200</v>
      </c>
    </row>
    <row r="12" spans="1:10">
      <c r="A12" t="s">
        <v>195</v>
      </c>
      <c r="D12" s="15" t="s">
        <v>191</v>
      </c>
      <c r="E12" s="15">
        <v>110</v>
      </c>
      <c r="I12" s="16" t="s">
        <v>191</v>
      </c>
      <c r="J12" s="15">
        <f>B7+B26</f>
        <v>340</v>
      </c>
    </row>
    <row r="13" spans="1:10">
      <c r="A13" s="15" t="s">
        <v>196</v>
      </c>
      <c r="B13" s="15">
        <v>230</v>
      </c>
      <c r="D13" s="15" t="s">
        <v>197</v>
      </c>
      <c r="E13" s="15">
        <f>E9-E10</f>
        <v>-200</v>
      </c>
      <c r="I13" s="15" t="s">
        <v>197</v>
      </c>
      <c r="J13" s="15">
        <f>J9-J10</f>
        <v>20</v>
      </c>
    </row>
    <row r="14" spans="1:10">
      <c r="A14" s="15" t="s">
        <v>198</v>
      </c>
      <c r="B14" s="15">
        <v>2400</v>
      </c>
      <c r="D14" s="15"/>
      <c r="E14" s="15"/>
      <c r="I14" s="15" t="s">
        <v>199</v>
      </c>
      <c r="J14" s="15">
        <f>J13*0.1</f>
        <v>2</v>
      </c>
    </row>
    <row r="15" spans="1:2">
      <c r="A15" s="15" t="s">
        <v>200</v>
      </c>
      <c r="B15" s="15">
        <v>1500</v>
      </c>
    </row>
    <row r="16" spans="1:9">
      <c r="A16" t="s">
        <v>201</v>
      </c>
      <c r="I16" t="s">
        <v>202</v>
      </c>
    </row>
    <row r="17" spans="1:10">
      <c r="A17" t="s">
        <v>203</v>
      </c>
      <c r="I17" s="12" t="s">
        <v>175</v>
      </c>
      <c r="J17" s="12"/>
    </row>
    <row r="18" spans="9:10">
      <c r="I18" s="15" t="s">
        <v>38</v>
      </c>
      <c r="J18" s="15" t="s">
        <v>46</v>
      </c>
    </row>
    <row r="19" spans="9:10">
      <c r="I19" s="15" t="s">
        <v>111</v>
      </c>
      <c r="J19" s="15">
        <f>J4</f>
        <v>7200</v>
      </c>
    </row>
    <row r="20" spans="1:10">
      <c r="A20" t="s">
        <v>204</v>
      </c>
      <c r="I20" s="15" t="s">
        <v>180</v>
      </c>
      <c r="J20" s="15">
        <f>J21+J22-J23</f>
        <v>5472</v>
      </c>
    </row>
    <row r="21" spans="1:10">
      <c r="A21" s="15" t="s">
        <v>205</v>
      </c>
      <c r="B21" s="15">
        <v>3</v>
      </c>
      <c r="I21" s="16" t="s">
        <v>182</v>
      </c>
      <c r="J21" s="15">
        <v>0</v>
      </c>
    </row>
    <row r="22" spans="1:10">
      <c r="A22" s="15" t="s">
        <v>206</v>
      </c>
      <c r="B22" s="15">
        <v>2.5</v>
      </c>
      <c r="I22" s="16" t="s">
        <v>184</v>
      </c>
      <c r="J22" s="15">
        <f>B4*C33+B6</f>
        <v>6840</v>
      </c>
    </row>
    <row r="23" spans="1:10">
      <c r="A23" s="15" t="s">
        <v>207</v>
      </c>
      <c r="B23" s="15">
        <v>0.5</v>
      </c>
      <c r="I23" s="16" t="s">
        <v>187</v>
      </c>
      <c r="J23" s="15">
        <f>C38</f>
        <v>1368</v>
      </c>
    </row>
    <row r="24" spans="1:10">
      <c r="A24" s="15" t="s">
        <v>208</v>
      </c>
      <c r="B24" s="15">
        <f>B14-B8</f>
        <v>900</v>
      </c>
      <c r="I24" s="15" t="s">
        <v>190</v>
      </c>
      <c r="J24" s="15">
        <f>J19-J20</f>
        <v>1728</v>
      </c>
    </row>
    <row r="25" spans="1:10">
      <c r="A25" s="15" t="s">
        <v>209</v>
      </c>
      <c r="B25" s="15">
        <f>B23*B24</f>
        <v>450</v>
      </c>
      <c r="I25" s="15" t="s">
        <v>192</v>
      </c>
      <c r="J25" s="15">
        <f>SUM(J26:J27)</f>
        <v>1540</v>
      </c>
    </row>
    <row r="26" spans="1:10">
      <c r="A26" s="15" t="s">
        <v>210</v>
      </c>
      <c r="B26" s="15">
        <f>B13</f>
        <v>230</v>
      </c>
      <c r="I26" s="16" t="s">
        <v>194</v>
      </c>
      <c r="J26" s="15">
        <f>J11</f>
        <v>1200</v>
      </c>
    </row>
    <row r="27" spans="1:10">
      <c r="A27" s="15" t="s">
        <v>211</v>
      </c>
      <c r="B27" s="15">
        <f>B25-B26</f>
        <v>220</v>
      </c>
      <c r="I27" s="16" t="s">
        <v>191</v>
      </c>
      <c r="J27" s="15">
        <f>J12</f>
        <v>340</v>
      </c>
    </row>
    <row r="28" spans="1:10">
      <c r="A28" t="s">
        <v>212</v>
      </c>
      <c r="I28" s="15" t="s">
        <v>197</v>
      </c>
      <c r="J28" s="15">
        <f>J24-J25</f>
        <v>188</v>
      </c>
    </row>
    <row r="29" spans="9:10">
      <c r="I29" s="15" t="s">
        <v>199</v>
      </c>
      <c r="J29" s="15">
        <f>J28*0.1</f>
        <v>18.8</v>
      </c>
    </row>
    <row r="30" spans="1:1">
      <c r="A30" t="s">
        <v>213</v>
      </c>
    </row>
    <row r="32" spans="1:4">
      <c r="A32" t="s">
        <v>214</v>
      </c>
      <c r="B32" s="12"/>
      <c r="C32" s="12"/>
      <c r="D32" s="12"/>
    </row>
    <row r="33" spans="1:4">
      <c r="A33" s="15" t="s">
        <v>189</v>
      </c>
      <c r="B33" s="15">
        <v>2400</v>
      </c>
      <c r="C33" s="15">
        <v>3000</v>
      </c>
      <c r="D33" s="15">
        <v>1500</v>
      </c>
    </row>
    <row r="34" spans="1:4">
      <c r="A34" s="15" t="s">
        <v>215</v>
      </c>
      <c r="B34" s="15">
        <v>2</v>
      </c>
      <c r="C34" s="15">
        <v>2</v>
      </c>
      <c r="D34" s="15">
        <f>B4</f>
        <v>2</v>
      </c>
    </row>
    <row r="35" spans="1:4">
      <c r="A35" s="15" t="s">
        <v>216</v>
      </c>
      <c r="B35" s="15">
        <f>B6/B33</f>
        <v>0.35</v>
      </c>
      <c r="C35" s="15">
        <f>B6/C33</f>
        <v>0.28</v>
      </c>
      <c r="D35" s="15">
        <f>B6/B9</f>
        <v>0.56</v>
      </c>
    </row>
    <row r="36" spans="1:4">
      <c r="A36" s="15" t="s">
        <v>217</v>
      </c>
      <c r="B36" s="15">
        <f>SUM(B34:B35)</f>
        <v>2.35</v>
      </c>
      <c r="C36" s="15">
        <f>SUM(C34:C35)</f>
        <v>2.28</v>
      </c>
      <c r="D36" s="15">
        <f>SUM(D34:D35)</f>
        <v>2.56</v>
      </c>
    </row>
    <row r="37" spans="1:4">
      <c r="A37" s="15" t="s">
        <v>218</v>
      </c>
      <c r="B37" s="15">
        <v>0</v>
      </c>
      <c r="C37" s="15">
        <f>C33-B14</f>
        <v>600</v>
      </c>
      <c r="D37" s="15">
        <v>0</v>
      </c>
    </row>
    <row r="38" spans="1:4">
      <c r="A38" s="15" t="s">
        <v>219</v>
      </c>
      <c r="B38" s="15">
        <v>0</v>
      </c>
      <c r="C38" s="15">
        <f>C37*C36</f>
        <v>1368</v>
      </c>
      <c r="D38" s="15">
        <v>0</v>
      </c>
    </row>
    <row r="40" spans="1:1">
      <c r="A40" t="s">
        <v>220</v>
      </c>
    </row>
    <row r="41" spans="1:1">
      <c r="A41" t="s">
        <v>221</v>
      </c>
    </row>
  </sheetData>
  <mergeCells count="5">
    <mergeCell ref="D2:E2"/>
    <mergeCell ref="I2:J2"/>
    <mergeCell ref="L2:M2"/>
    <mergeCell ref="I17:J17"/>
    <mergeCell ref="B32:D3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selection activeCell="B28" sqref="B28"/>
    </sheetView>
  </sheetViews>
  <sheetFormatPr defaultColWidth="9" defaultRowHeight="13.5" outlineLevelCol="3"/>
  <cols>
    <col min="1" max="1" width="15.5" customWidth="1"/>
    <col min="2" max="2" width="11.875" customWidth="1"/>
    <col min="3" max="3" width="11" customWidth="1"/>
    <col min="4" max="4" width="9.375"/>
  </cols>
  <sheetData>
    <row r="1" spans="1:3">
      <c r="A1" s="5" t="s">
        <v>222</v>
      </c>
      <c r="B1" s="5"/>
      <c r="C1" s="5"/>
    </row>
    <row r="2" spans="1:3">
      <c r="A2" s="2" t="s">
        <v>38</v>
      </c>
      <c r="B2" s="2" t="s">
        <v>223</v>
      </c>
      <c r="C2" s="2" t="s">
        <v>224</v>
      </c>
    </row>
    <row r="3" spans="1:3">
      <c r="A3" s="2" t="s">
        <v>225</v>
      </c>
      <c r="B3" s="2">
        <v>600000</v>
      </c>
      <c r="C3" s="2">
        <v>600000</v>
      </c>
    </row>
    <row r="4" spans="1:3">
      <c r="A4" s="2" t="s">
        <v>111</v>
      </c>
      <c r="B4" s="2">
        <v>2500000</v>
      </c>
      <c r="C4" s="2">
        <v>3520000</v>
      </c>
    </row>
    <row r="5" spans="1:3">
      <c r="A5" s="2" t="s">
        <v>32</v>
      </c>
      <c r="B5" s="2">
        <v>22000</v>
      </c>
      <c r="C5" s="2">
        <v>34000</v>
      </c>
    </row>
    <row r="6" spans="1:3">
      <c r="A6" s="2" t="s">
        <v>226</v>
      </c>
      <c r="B6" s="2">
        <v>30000</v>
      </c>
      <c r="C6" s="2">
        <v>60000</v>
      </c>
    </row>
    <row r="9" spans="1:3">
      <c r="A9" s="5" t="s">
        <v>227</v>
      </c>
      <c r="B9" s="5"/>
      <c r="C9" s="5"/>
    </row>
    <row r="10" spans="1:3">
      <c r="A10" s="2" t="s">
        <v>38</v>
      </c>
      <c r="B10" s="2" t="s">
        <v>223</v>
      </c>
      <c r="C10" s="2" t="s">
        <v>224</v>
      </c>
    </row>
    <row r="11" spans="1:3">
      <c r="A11" s="2" t="s">
        <v>228</v>
      </c>
      <c r="B11" s="2">
        <v>10000</v>
      </c>
      <c r="C11" s="2">
        <v>23000</v>
      </c>
    </row>
    <row r="12" spans="1:3">
      <c r="A12" s="2" t="s">
        <v>229</v>
      </c>
      <c r="B12" s="2">
        <v>5000</v>
      </c>
      <c r="C12" s="2">
        <v>10000</v>
      </c>
    </row>
    <row r="13" spans="1:3">
      <c r="A13" s="2" t="s">
        <v>230</v>
      </c>
      <c r="B13" s="2">
        <v>30000</v>
      </c>
      <c r="C13" s="2">
        <v>35000</v>
      </c>
    </row>
    <row r="14" spans="1:3">
      <c r="A14" s="2" t="s">
        <v>34</v>
      </c>
      <c r="B14" s="2">
        <f>SUM(B11:B13)</f>
        <v>45000</v>
      </c>
      <c r="C14" s="2">
        <f>SUM(C11:C13)</f>
        <v>68000</v>
      </c>
    </row>
    <row r="16" spans="1:3">
      <c r="A16" s="5" t="s">
        <v>231</v>
      </c>
      <c r="B16" s="5"/>
      <c r="C16" s="5"/>
    </row>
    <row r="17" spans="1:4">
      <c r="A17" s="1" t="s">
        <v>38</v>
      </c>
      <c r="B17" s="1" t="s">
        <v>223</v>
      </c>
      <c r="C17" s="1" t="s">
        <v>224</v>
      </c>
      <c r="D17" s="1" t="s">
        <v>232</v>
      </c>
    </row>
    <row r="18" spans="1:4">
      <c r="A18" s="2" t="s">
        <v>233</v>
      </c>
      <c r="B18" s="2">
        <f>B4</f>
        <v>2500000</v>
      </c>
      <c r="C18" s="2">
        <f>C4</f>
        <v>3520000</v>
      </c>
      <c r="D18" s="2">
        <f t="shared" ref="D18:D23" si="0">C18-B18</f>
        <v>1020000</v>
      </c>
    </row>
    <row r="19" spans="1:4">
      <c r="A19" s="2" t="s">
        <v>234</v>
      </c>
      <c r="B19" s="2">
        <f>B5+B6+B14</f>
        <v>97000</v>
      </c>
      <c r="C19" s="2">
        <f>C14+C5+C6</f>
        <v>162000</v>
      </c>
      <c r="D19" s="2">
        <f t="shared" si="0"/>
        <v>65000</v>
      </c>
    </row>
    <row r="20" spans="1:4">
      <c r="A20" s="2" t="s">
        <v>235</v>
      </c>
      <c r="B20" s="2">
        <f>B18-B19</f>
        <v>2403000</v>
      </c>
      <c r="C20" s="2">
        <f>C18-C19</f>
        <v>3358000</v>
      </c>
      <c r="D20" s="2">
        <f t="shared" si="0"/>
        <v>955000</v>
      </c>
    </row>
    <row r="21" spans="1:4">
      <c r="A21" s="2" t="s">
        <v>236</v>
      </c>
      <c r="B21" s="2">
        <f>B20*12</f>
        <v>28836000</v>
      </c>
      <c r="C21" s="2">
        <f>C20*12</f>
        <v>40296000</v>
      </c>
      <c r="D21" s="2">
        <f t="shared" si="0"/>
        <v>11460000</v>
      </c>
    </row>
    <row r="22" spans="1:4">
      <c r="A22" s="2" t="s">
        <v>237</v>
      </c>
      <c r="B22" s="2">
        <f>B3</f>
        <v>600000</v>
      </c>
      <c r="C22" s="2">
        <f>C3</f>
        <v>600000</v>
      </c>
      <c r="D22" s="2">
        <f t="shared" si="0"/>
        <v>0</v>
      </c>
    </row>
    <row r="23" spans="1:4">
      <c r="A23" s="2" t="s">
        <v>238</v>
      </c>
      <c r="B23" s="10">
        <f>B21-B22</f>
        <v>28236000</v>
      </c>
      <c r="C23" s="4">
        <f>C21-C22</f>
        <v>39696000</v>
      </c>
      <c r="D23" s="2">
        <f t="shared" si="0"/>
        <v>11460000</v>
      </c>
    </row>
    <row r="25" spans="1:1">
      <c r="A25" t="s">
        <v>239</v>
      </c>
    </row>
    <row r="26" spans="1:1">
      <c r="A26" t="s">
        <v>240</v>
      </c>
    </row>
  </sheetData>
  <mergeCells count="3">
    <mergeCell ref="A1:C1"/>
    <mergeCell ref="A9:C9"/>
    <mergeCell ref="A16:C16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"/>
  <sheetViews>
    <sheetView topLeftCell="A65" workbookViewId="0">
      <selection activeCell="B65" sqref="B65"/>
    </sheetView>
  </sheetViews>
  <sheetFormatPr defaultColWidth="9" defaultRowHeight="13.5" outlineLevelCol="5"/>
  <cols>
    <col min="1" max="1" width="11.75" customWidth="1"/>
    <col min="2" max="2" width="11.875" customWidth="1"/>
    <col min="4" max="4" width="14.125" customWidth="1"/>
    <col min="5" max="5" width="17.75" customWidth="1"/>
    <col min="6" max="6" width="16.375" customWidth="1"/>
  </cols>
  <sheetData>
    <row r="1" spans="1:1">
      <c r="A1" t="s">
        <v>241</v>
      </c>
    </row>
    <row r="3" spans="1:2">
      <c r="A3" t="s">
        <v>242</v>
      </c>
      <c r="B3">
        <v>5000</v>
      </c>
    </row>
    <row r="5" spans="1:3">
      <c r="A5" s="1" t="s">
        <v>243</v>
      </c>
      <c r="B5" s="1" t="s">
        <v>244</v>
      </c>
      <c r="C5" s="1" t="s">
        <v>245</v>
      </c>
    </row>
    <row r="6" spans="1:3">
      <c r="A6" s="7" t="s">
        <v>246</v>
      </c>
      <c r="B6" s="8">
        <v>600000</v>
      </c>
      <c r="C6" s="8">
        <v>1000000</v>
      </c>
    </row>
    <row r="7" spans="1:3">
      <c r="A7" s="7" t="s">
        <v>206</v>
      </c>
      <c r="B7" s="8">
        <v>3000</v>
      </c>
      <c r="C7" s="8">
        <v>2500</v>
      </c>
    </row>
    <row r="8" spans="1:3">
      <c r="A8" s="7" t="s">
        <v>247</v>
      </c>
      <c r="B8" s="8">
        <v>800</v>
      </c>
      <c r="C8" s="8">
        <v>2000</v>
      </c>
    </row>
    <row r="9" spans="1:3">
      <c r="A9" s="2" t="s">
        <v>248</v>
      </c>
      <c r="B9" s="2">
        <v>800</v>
      </c>
      <c r="C9" s="2" t="s">
        <v>249</v>
      </c>
    </row>
    <row r="10" spans="1:3">
      <c r="A10" s="2" t="s">
        <v>250</v>
      </c>
      <c r="B10" s="2">
        <v>3000</v>
      </c>
      <c r="C10" s="2">
        <v>3000</v>
      </c>
    </row>
    <row r="11" spans="1:3">
      <c r="A11" s="2" t="s">
        <v>251</v>
      </c>
      <c r="B11" s="2">
        <v>0</v>
      </c>
      <c r="C11" s="2">
        <v>4000</v>
      </c>
    </row>
    <row r="13" spans="1:4">
      <c r="A13" t="s">
        <v>252</v>
      </c>
      <c r="D13" t="s">
        <v>253</v>
      </c>
    </row>
    <row r="14" spans="1:4">
      <c r="A14" s="5" t="s">
        <v>38</v>
      </c>
      <c r="B14" s="5" t="s">
        <v>254</v>
      </c>
      <c r="D14" t="s">
        <v>255</v>
      </c>
    </row>
    <row r="15" spans="1:4">
      <c r="A15" s="2" t="s">
        <v>50</v>
      </c>
      <c r="B15" s="2">
        <v>1000</v>
      </c>
      <c r="D15">
        <v>2000</v>
      </c>
    </row>
    <row r="16" spans="1:4">
      <c r="A16" s="2" t="s">
        <v>248</v>
      </c>
      <c r="B16" s="2">
        <v>600</v>
      </c>
      <c r="D16">
        <v>600</v>
      </c>
    </row>
    <row r="17" spans="1:4">
      <c r="A17" s="2" t="s">
        <v>256</v>
      </c>
      <c r="B17" s="2">
        <f>B15-B16</f>
        <v>400</v>
      </c>
      <c r="D17">
        <f>D15-D16</f>
        <v>1400</v>
      </c>
    </row>
    <row r="19" spans="1:1">
      <c r="A19" t="s">
        <v>257</v>
      </c>
    </row>
    <row r="20" spans="1:1">
      <c r="A20" t="s">
        <v>258</v>
      </c>
    </row>
    <row r="21" spans="1:3">
      <c r="A21" s="1" t="s">
        <v>243</v>
      </c>
      <c r="B21" s="1" t="s">
        <v>244</v>
      </c>
      <c r="C21" s="2" t="s">
        <v>242</v>
      </c>
    </row>
    <row r="22" spans="1:3">
      <c r="A22" s="7" t="s">
        <v>246</v>
      </c>
      <c r="B22" s="8">
        <v>600000</v>
      </c>
      <c r="C22" s="2"/>
    </row>
    <row r="23" spans="1:3">
      <c r="A23" s="7" t="s">
        <v>206</v>
      </c>
      <c r="B23" s="8">
        <v>3000</v>
      </c>
      <c r="C23" s="2">
        <v>5000</v>
      </c>
    </row>
    <row r="24" spans="1:3">
      <c r="A24" s="7" t="s">
        <v>11</v>
      </c>
      <c r="B24" s="8" t="s">
        <v>168</v>
      </c>
      <c r="C24" s="8" t="s">
        <v>168</v>
      </c>
    </row>
    <row r="25" spans="1:3">
      <c r="A25" s="2"/>
      <c r="B25" s="2"/>
      <c r="C25" s="2"/>
    </row>
    <row r="26" spans="1:3">
      <c r="A26" s="2"/>
      <c r="B26" s="2"/>
      <c r="C26" s="2"/>
    </row>
    <row r="28" spans="1:1">
      <c r="A28" t="s">
        <v>259</v>
      </c>
    </row>
    <row r="30" spans="1:2">
      <c r="A30" s="9" t="s">
        <v>260</v>
      </c>
      <c r="B30">
        <f>B22/(C23-B23)</f>
        <v>300</v>
      </c>
    </row>
    <row r="31" spans="1:1">
      <c r="A31" t="s">
        <v>261</v>
      </c>
    </row>
    <row r="33" spans="1:1">
      <c r="A33" t="s">
        <v>262</v>
      </c>
    </row>
    <row r="35" spans="1:2">
      <c r="A35" s="2" t="s">
        <v>163</v>
      </c>
      <c r="B35" s="2">
        <f>C10*B16+B17*C11</f>
        <v>3400000</v>
      </c>
    </row>
    <row r="36" spans="1:2">
      <c r="A36" s="2" t="s">
        <v>164</v>
      </c>
      <c r="B36" s="2">
        <f>B15*C7</f>
        <v>2500000</v>
      </c>
    </row>
    <row r="37" spans="1:2">
      <c r="A37" s="2" t="s">
        <v>116</v>
      </c>
      <c r="B37" s="2">
        <f>B35-B36</f>
        <v>900000</v>
      </c>
    </row>
    <row r="38" spans="1:2">
      <c r="A38" s="2" t="s">
        <v>165</v>
      </c>
      <c r="B38" s="2">
        <f>C6</f>
        <v>1000000</v>
      </c>
    </row>
    <row r="39" spans="1:2">
      <c r="A39" s="2" t="s">
        <v>71</v>
      </c>
      <c r="B39" s="4">
        <f>B37-B38</f>
        <v>-100000</v>
      </c>
    </row>
    <row r="41" spans="1:1">
      <c r="A41" t="s">
        <v>263</v>
      </c>
    </row>
    <row r="42" spans="1:4">
      <c r="A42" t="s">
        <v>264</v>
      </c>
      <c r="D42" t="s">
        <v>265</v>
      </c>
    </row>
    <row r="43" spans="1:5">
      <c r="A43" s="5" t="s">
        <v>38</v>
      </c>
      <c r="B43" s="5" t="s">
        <v>84</v>
      </c>
      <c r="D43" s="5" t="s">
        <v>38</v>
      </c>
      <c r="E43" s="5" t="s">
        <v>84</v>
      </c>
    </row>
    <row r="44" spans="1:5">
      <c r="A44" s="2" t="s">
        <v>163</v>
      </c>
      <c r="B44" s="2">
        <v>0</v>
      </c>
      <c r="D44" s="2" t="s">
        <v>163</v>
      </c>
      <c r="E44" s="2">
        <f>D16*C10+D17*C11</f>
        <v>7400000</v>
      </c>
    </row>
    <row r="45" spans="1:5">
      <c r="A45" s="2" t="s">
        <v>164</v>
      </c>
      <c r="B45" s="2">
        <v>0</v>
      </c>
      <c r="D45" s="2" t="s">
        <v>164</v>
      </c>
      <c r="E45" s="2">
        <f>D15*C7</f>
        <v>5000000</v>
      </c>
    </row>
    <row r="46" spans="1:5">
      <c r="A46" s="2" t="s">
        <v>116</v>
      </c>
      <c r="B46" s="2">
        <v>0</v>
      </c>
      <c r="D46" s="2" t="s">
        <v>116</v>
      </c>
      <c r="E46" s="2">
        <f>E44-E45</f>
        <v>2400000</v>
      </c>
    </row>
    <row r="47" spans="1:5">
      <c r="A47" s="2" t="s">
        <v>165</v>
      </c>
      <c r="B47" s="2">
        <f>B38</f>
        <v>1000000</v>
      </c>
      <c r="D47" s="2" t="s">
        <v>165</v>
      </c>
      <c r="E47" s="2">
        <f>B47</f>
        <v>1000000</v>
      </c>
    </row>
    <row r="48" spans="1:5">
      <c r="A48" s="2" t="s">
        <v>71</v>
      </c>
      <c r="B48" s="4">
        <f>B46-B47</f>
        <v>-1000000</v>
      </c>
      <c r="D48" s="2" t="s">
        <v>71</v>
      </c>
      <c r="E48" s="4">
        <f>E46-E47</f>
        <v>1400000</v>
      </c>
    </row>
    <row r="50" spans="1:1">
      <c r="A50" t="s">
        <v>266</v>
      </c>
    </row>
    <row r="52" spans="1:1">
      <c r="A52" t="s">
        <v>267</v>
      </c>
    </row>
    <row r="54" spans="1:5">
      <c r="A54" t="s">
        <v>268</v>
      </c>
      <c r="E54" t="s">
        <v>269</v>
      </c>
    </row>
    <row r="55" spans="1:6">
      <c r="A55" s="2" t="s">
        <v>68</v>
      </c>
      <c r="B55" s="2"/>
      <c r="C55" s="2" t="s">
        <v>2</v>
      </c>
      <c r="E55" s="2" t="s">
        <v>38</v>
      </c>
      <c r="F55" s="2" t="s">
        <v>46</v>
      </c>
    </row>
    <row r="56" spans="1:6">
      <c r="A56" s="2" t="s">
        <v>270</v>
      </c>
      <c r="B56" s="2">
        <v>2000</v>
      </c>
      <c r="C56" s="2"/>
      <c r="E56" s="2" t="s">
        <v>271</v>
      </c>
      <c r="F56" s="2">
        <v>1200</v>
      </c>
    </row>
    <row r="57" spans="1:6">
      <c r="A57" s="2" t="s">
        <v>272</v>
      </c>
      <c r="B57" s="2">
        <v>0</v>
      </c>
      <c r="C57" s="2">
        <v>4000</v>
      </c>
      <c r="E57" s="2" t="s">
        <v>2</v>
      </c>
      <c r="F57" s="2">
        <v>5000</v>
      </c>
    </row>
    <row r="58" spans="1:6">
      <c r="A58" s="2" t="s">
        <v>273</v>
      </c>
      <c r="B58" s="2">
        <v>0</v>
      </c>
      <c r="C58" s="2">
        <v>3000</v>
      </c>
      <c r="E58" s="2" t="s">
        <v>110</v>
      </c>
      <c r="F58" s="2">
        <f>F56*F57</f>
        <v>6000000</v>
      </c>
    </row>
    <row r="60" spans="1:2">
      <c r="A60" s="2" t="s">
        <v>38</v>
      </c>
      <c r="B60" s="2" t="s">
        <v>84</v>
      </c>
    </row>
    <row r="61" spans="1:5">
      <c r="A61" s="2" t="s">
        <v>163</v>
      </c>
      <c r="B61" s="2">
        <f>C57*B56</f>
        <v>8000000</v>
      </c>
      <c r="E61" t="s">
        <v>274</v>
      </c>
    </row>
    <row r="62" spans="1:6">
      <c r="A62" s="2" t="s">
        <v>164</v>
      </c>
      <c r="B62" s="2">
        <f>B56*C7</f>
        <v>5000000</v>
      </c>
      <c r="E62" s="2" t="s">
        <v>38</v>
      </c>
      <c r="F62" s="2" t="s">
        <v>46</v>
      </c>
    </row>
    <row r="63" spans="1:6">
      <c r="A63" s="2" t="s">
        <v>116</v>
      </c>
      <c r="B63" s="2">
        <f>B61-B62</f>
        <v>3000000</v>
      </c>
      <c r="E63" s="2" t="s">
        <v>275</v>
      </c>
      <c r="F63" s="2">
        <f>B65</f>
        <v>2000000</v>
      </c>
    </row>
    <row r="64" spans="1:6">
      <c r="A64" s="2" t="s">
        <v>165</v>
      </c>
      <c r="B64" s="2">
        <f>B47</f>
        <v>1000000</v>
      </c>
      <c r="E64" s="2" t="s">
        <v>276</v>
      </c>
      <c r="F64" s="2">
        <f>F58</f>
        <v>6000000</v>
      </c>
    </row>
    <row r="65" spans="1:6">
      <c r="A65" s="2" t="s">
        <v>71</v>
      </c>
      <c r="B65" s="2">
        <f>B63-B64</f>
        <v>2000000</v>
      </c>
      <c r="E65" s="2" t="s">
        <v>277</v>
      </c>
      <c r="F65" s="4">
        <f>F63-F64</f>
        <v>-4000000</v>
      </c>
    </row>
    <row r="68" spans="1:1">
      <c r="A68" t="s">
        <v>278</v>
      </c>
    </row>
    <row r="69" spans="1:3">
      <c r="A69" s="2" t="s">
        <v>68</v>
      </c>
      <c r="B69" s="2"/>
      <c r="C69" s="2" t="s">
        <v>2</v>
      </c>
    </row>
    <row r="70" spans="1:3">
      <c r="A70" s="2" t="s">
        <v>270</v>
      </c>
      <c r="B70" s="2">
        <v>2000</v>
      </c>
      <c r="C70" s="2"/>
    </row>
    <row r="71" spans="1:3">
      <c r="A71" s="2" t="s">
        <v>272</v>
      </c>
      <c r="B71" s="2">
        <f>B70-B72</f>
        <v>800</v>
      </c>
      <c r="C71" s="2">
        <v>4000</v>
      </c>
    </row>
    <row r="72" spans="1:3">
      <c r="A72" s="2" t="s">
        <v>273</v>
      </c>
      <c r="B72" s="2">
        <v>1200</v>
      </c>
      <c r="C72" s="2">
        <v>3000</v>
      </c>
    </row>
    <row r="74" spans="1:2">
      <c r="A74" s="2" t="s">
        <v>38</v>
      </c>
      <c r="B74" s="2" t="s">
        <v>84</v>
      </c>
    </row>
    <row r="75" spans="1:2">
      <c r="A75" s="2" t="s">
        <v>163</v>
      </c>
      <c r="B75" s="2">
        <f>B71*C71+B72*C72</f>
        <v>6800000</v>
      </c>
    </row>
    <row r="76" spans="1:2">
      <c r="A76" s="2" t="s">
        <v>164</v>
      </c>
      <c r="B76" s="2">
        <f>B70*C7</f>
        <v>5000000</v>
      </c>
    </row>
    <row r="77" spans="1:2">
      <c r="A77" s="2" t="s">
        <v>116</v>
      </c>
      <c r="B77" s="2">
        <f>B75-B76</f>
        <v>1800000</v>
      </c>
    </row>
    <row r="78" spans="1:2">
      <c r="A78" s="2" t="s">
        <v>165</v>
      </c>
      <c r="B78" s="2">
        <v>1000000</v>
      </c>
    </row>
    <row r="79" spans="1:2">
      <c r="A79" s="2" t="s">
        <v>71</v>
      </c>
      <c r="B79" s="4">
        <f>B77-B78</f>
        <v>800000</v>
      </c>
    </row>
    <row r="81" spans="1:1">
      <c r="A81" t="s">
        <v>279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opLeftCell="A10" workbookViewId="0">
      <selection activeCell="C34" sqref="C34"/>
    </sheetView>
  </sheetViews>
  <sheetFormatPr defaultColWidth="9" defaultRowHeight="13.5" outlineLevelCol="3"/>
  <cols>
    <col min="1" max="1" width="22.125" customWidth="1"/>
    <col min="2" max="2" width="12.5" customWidth="1"/>
    <col min="3" max="3" width="10.625" customWidth="1"/>
    <col min="4" max="4" width="9.375"/>
  </cols>
  <sheetData>
    <row r="1" spans="1:4">
      <c r="A1" s="5" t="s">
        <v>280</v>
      </c>
      <c r="B1" s="5"/>
      <c r="C1" s="5"/>
      <c r="D1" s="5"/>
    </row>
    <row r="2" spans="1:4">
      <c r="A2" s="2" t="s">
        <v>38</v>
      </c>
      <c r="B2" s="2" t="s">
        <v>281</v>
      </c>
      <c r="C2" s="2" t="s">
        <v>282</v>
      </c>
      <c r="D2" s="2" t="s">
        <v>34</v>
      </c>
    </row>
    <row r="3" spans="1:4">
      <c r="A3" s="2" t="s">
        <v>283</v>
      </c>
      <c r="B3" s="2">
        <v>10000000</v>
      </c>
      <c r="C3" s="2">
        <v>16000000</v>
      </c>
      <c r="D3" s="2">
        <f>B3+C3</f>
        <v>26000000</v>
      </c>
    </row>
    <row r="4" spans="1:4">
      <c r="A4" s="2" t="s">
        <v>164</v>
      </c>
      <c r="B4" s="2">
        <v>9000000</v>
      </c>
      <c r="C4" s="2">
        <v>12800000</v>
      </c>
      <c r="D4" s="2">
        <f>B4+C4</f>
        <v>21800000</v>
      </c>
    </row>
    <row r="5" spans="1:4">
      <c r="A5" s="2" t="s">
        <v>284</v>
      </c>
      <c r="B5" s="2">
        <f>B3-B4</f>
        <v>1000000</v>
      </c>
      <c r="C5" s="2">
        <f>C3-C4</f>
        <v>3200000</v>
      </c>
      <c r="D5" s="2">
        <f>B5+C5</f>
        <v>4200000</v>
      </c>
    </row>
    <row r="6" spans="1:4">
      <c r="A6" s="2" t="s">
        <v>285</v>
      </c>
      <c r="B6" s="2">
        <v>1110000</v>
      </c>
      <c r="C6" s="2">
        <v>1000000</v>
      </c>
      <c r="D6" s="2">
        <f>B6+C6</f>
        <v>2110000</v>
      </c>
    </row>
    <row r="7" spans="1:4">
      <c r="A7" s="2" t="s">
        <v>286</v>
      </c>
      <c r="B7" s="2">
        <f>B5-B6</f>
        <v>-110000</v>
      </c>
      <c r="C7" s="2">
        <f>C5-C6</f>
        <v>2200000</v>
      </c>
      <c r="D7" s="6">
        <f>B7+C7</f>
        <v>2090000</v>
      </c>
    </row>
    <row r="9" spans="1:1">
      <c r="A9" t="s">
        <v>287</v>
      </c>
    </row>
    <row r="10" spans="1:1">
      <c r="A10" t="s">
        <v>288</v>
      </c>
    </row>
    <row r="11" spans="1:4">
      <c r="A11" s="2" t="s">
        <v>38</v>
      </c>
      <c r="B11" s="2" t="s">
        <v>281</v>
      </c>
      <c r="C11" s="2" t="s">
        <v>282</v>
      </c>
      <c r="D11" s="2" t="s">
        <v>34</v>
      </c>
    </row>
    <row r="12" spans="1:4">
      <c r="A12" s="2" t="s">
        <v>283</v>
      </c>
      <c r="B12" s="2">
        <v>0</v>
      </c>
      <c r="C12" s="2">
        <f>C3*0.9</f>
        <v>14400000</v>
      </c>
      <c r="D12" s="2">
        <f t="shared" ref="D12:D16" si="0">B12+C12</f>
        <v>14400000</v>
      </c>
    </row>
    <row r="13" spans="1:4">
      <c r="A13" s="2" t="s">
        <v>164</v>
      </c>
      <c r="B13" s="2">
        <v>0</v>
      </c>
      <c r="C13" s="2">
        <f>C4*0.9</f>
        <v>11520000</v>
      </c>
      <c r="D13" s="2">
        <f t="shared" si="0"/>
        <v>11520000</v>
      </c>
    </row>
    <row r="14" spans="1:4">
      <c r="A14" s="2" t="s">
        <v>284</v>
      </c>
      <c r="B14" s="2">
        <f>B12-B13</f>
        <v>0</v>
      </c>
      <c r="C14" s="2">
        <f>C12-C13</f>
        <v>2880000</v>
      </c>
      <c r="D14" s="2">
        <f t="shared" si="0"/>
        <v>2880000</v>
      </c>
    </row>
    <row r="15" spans="1:4">
      <c r="A15" s="2" t="s">
        <v>285</v>
      </c>
      <c r="B15" s="2">
        <f>B6</f>
        <v>1110000</v>
      </c>
      <c r="C15" s="2">
        <v>1000000</v>
      </c>
      <c r="D15" s="2">
        <f t="shared" si="0"/>
        <v>2110000</v>
      </c>
    </row>
    <row r="16" spans="1:4">
      <c r="A16" s="2" t="s">
        <v>286</v>
      </c>
      <c r="B16" s="2">
        <f>B14-B15</f>
        <v>-1110000</v>
      </c>
      <c r="C16" s="2">
        <f>C14-C15</f>
        <v>1880000</v>
      </c>
      <c r="D16" s="4">
        <f t="shared" si="0"/>
        <v>770000</v>
      </c>
    </row>
    <row r="18" spans="1:1">
      <c r="A18" t="s">
        <v>289</v>
      </c>
    </row>
    <row r="20" spans="1:1">
      <c r="A20" t="s">
        <v>290</v>
      </c>
    </row>
    <row r="21" spans="1:4">
      <c r="A21" s="2" t="s">
        <v>38</v>
      </c>
      <c r="B21" s="2" t="s">
        <v>281</v>
      </c>
      <c r="C21" s="2" t="s">
        <v>282</v>
      </c>
      <c r="D21" s="2" t="s">
        <v>34</v>
      </c>
    </row>
    <row r="22" spans="1:4">
      <c r="A22" s="2" t="s">
        <v>283</v>
      </c>
      <c r="B22" s="2">
        <f>B3*1.05</f>
        <v>10500000</v>
      </c>
      <c r="C22" s="2">
        <f>C3*1.03</f>
        <v>16480000</v>
      </c>
      <c r="D22" s="2">
        <f t="shared" ref="D22:D26" si="1">B22+C22</f>
        <v>26980000</v>
      </c>
    </row>
    <row r="23" spans="1:4">
      <c r="A23" s="2" t="s">
        <v>164</v>
      </c>
      <c r="B23" s="2">
        <f>B4*1.05</f>
        <v>9450000</v>
      </c>
      <c r="C23" s="2">
        <f>C4*1.03</f>
        <v>13184000</v>
      </c>
      <c r="D23" s="2">
        <f t="shared" si="1"/>
        <v>22634000</v>
      </c>
    </row>
    <row r="24" spans="1:4">
      <c r="A24" s="2" t="s">
        <v>284</v>
      </c>
      <c r="B24" s="2">
        <f>B22-B23</f>
        <v>1050000</v>
      </c>
      <c r="C24" s="2">
        <f>C22-C23</f>
        <v>3296000</v>
      </c>
      <c r="D24" s="2">
        <f t="shared" si="1"/>
        <v>4346000</v>
      </c>
    </row>
    <row r="25" spans="1:4">
      <c r="A25" s="2" t="s">
        <v>285</v>
      </c>
      <c r="B25" s="2">
        <v>1110000</v>
      </c>
      <c r="C25" s="2">
        <f>C6+500000</f>
        <v>1500000</v>
      </c>
      <c r="D25" s="2">
        <f t="shared" si="1"/>
        <v>2610000</v>
      </c>
    </row>
    <row r="26" spans="1:4">
      <c r="A26" s="2" t="s">
        <v>286</v>
      </c>
      <c r="B26" s="2">
        <f>B24-B25</f>
        <v>-60000</v>
      </c>
      <c r="C26" s="2">
        <f>C24-C25</f>
        <v>1796000</v>
      </c>
      <c r="D26" s="6">
        <f t="shared" si="1"/>
        <v>1736000</v>
      </c>
    </row>
    <row r="28" spans="1:1">
      <c r="A28" t="s">
        <v>291</v>
      </c>
    </row>
  </sheetData>
  <mergeCells count="1">
    <mergeCell ref="A1:D1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tabSelected="1" topLeftCell="A7" workbookViewId="0">
      <selection activeCell="A31" sqref="A31"/>
    </sheetView>
  </sheetViews>
  <sheetFormatPr defaultColWidth="9" defaultRowHeight="13.5" outlineLevelCol="3"/>
  <cols>
    <col min="1" max="1" width="21" customWidth="1"/>
    <col min="2" max="2" width="17.125" customWidth="1"/>
  </cols>
  <sheetData>
    <row r="1" spans="1:1">
      <c r="A1" t="s">
        <v>292</v>
      </c>
    </row>
    <row r="2" spans="1:2">
      <c r="A2" s="1" t="s">
        <v>293</v>
      </c>
      <c r="B2" s="1" t="s">
        <v>294</v>
      </c>
    </row>
    <row r="3" spans="1:2">
      <c r="A3" s="2" t="s">
        <v>295</v>
      </c>
      <c r="B3" s="3">
        <v>0.4</v>
      </c>
    </row>
    <row r="4" spans="1:2">
      <c r="A4" s="2" t="s">
        <v>296</v>
      </c>
      <c r="B4" s="3">
        <v>0.3</v>
      </c>
    </row>
    <row r="5" spans="1:2">
      <c r="A5" s="2" t="s">
        <v>297</v>
      </c>
      <c r="B5" s="3">
        <v>0.2</v>
      </c>
    </row>
    <row r="6" spans="1:2">
      <c r="A6" s="2" t="s">
        <v>298</v>
      </c>
      <c r="B6" s="3">
        <v>0.1</v>
      </c>
    </row>
    <row r="8" spans="1:1">
      <c r="A8" t="s">
        <v>299</v>
      </c>
    </row>
    <row r="9" spans="1:1">
      <c r="A9" s="4">
        <v>30000</v>
      </c>
    </row>
    <row r="10" spans="1:1">
      <c r="A10" t="s">
        <v>300</v>
      </c>
    </row>
    <row r="11" spans="1:2">
      <c r="A11" s="2" t="s">
        <v>295</v>
      </c>
      <c r="B11" s="2">
        <v>20000</v>
      </c>
    </row>
    <row r="12" spans="1:2">
      <c r="A12" s="2" t="s">
        <v>301</v>
      </c>
      <c r="B12" s="2">
        <v>10</v>
      </c>
    </row>
    <row r="13" spans="1:4">
      <c r="A13" s="1" t="s">
        <v>293</v>
      </c>
      <c r="B13" s="1" t="s">
        <v>294</v>
      </c>
      <c r="C13" s="1" t="s">
        <v>302</v>
      </c>
      <c r="D13" s="2" t="s">
        <v>303</v>
      </c>
    </row>
    <row r="14" spans="1:4">
      <c r="A14" s="2" t="s">
        <v>295</v>
      </c>
      <c r="B14" s="3">
        <v>0.4</v>
      </c>
      <c r="C14" s="2">
        <f>B11</f>
        <v>20000</v>
      </c>
      <c r="D14" s="2">
        <f>C14*B14</f>
        <v>8000</v>
      </c>
    </row>
    <row r="15" spans="1:4">
      <c r="A15" s="2" t="s">
        <v>296</v>
      </c>
      <c r="B15" s="3">
        <v>0.3</v>
      </c>
      <c r="C15" s="2">
        <f>B11+B12*(1300-1000)</f>
        <v>23000</v>
      </c>
      <c r="D15" s="2">
        <f>C15*B15</f>
        <v>6900</v>
      </c>
    </row>
    <row r="16" spans="1:4">
      <c r="A16" s="2" t="s">
        <v>297</v>
      </c>
      <c r="B16" s="3">
        <v>0.2</v>
      </c>
      <c r="C16" s="2">
        <f>B11+B12*(1500-1000)</f>
        <v>25000</v>
      </c>
      <c r="D16" s="2">
        <f>C16*B16</f>
        <v>5000</v>
      </c>
    </row>
    <row r="17" spans="1:4">
      <c r="A17" s="2" t="s">
        <v>298</v>
      </c>
      <c r="B17" s="3">
        <v>0.1</v>
      </c>
      <c r="C17" s="2">
        <f>B12*(2000-1000)+B11</f>
        <v>30000</v>
      </c>
      <c r="D17" s="2">
        <f>C17*B17</f>
        <v>3000</v>
      </c>
    </row>
    <row r="18" spans="1:4">
      <c r="A18" s="2" t="s">
        <v>34</v>
      </c>
      <c r="B18" s="3">
        <v>1</v>
      </c>
      <c r="C18" s="2"/>
      <c r="D18" s="4">
        <f>SUM(D14:D17)</f>
        <v>22900</v>
      </c>
    </row>
    <row r="20" spans="1:1">
      <c r="A20" t="s">
        <v>304</v>
      </c>
    </row>
    <row r="21" spans="1:2">
      <c r="A21" s="2" t="s">
        <v>305</v>
      </c>
      <c r="B21" s="2">
        <v>28000</v>
      </c>
    </row>
    <row r="22" spans="1:2">
      <c r="A22" s="2" t="s">
        <v>301</v>
      </c>
      <c r="B22" s="2">
        <v>20</v>
      </c>
    </row>
    <row r="24" spans="1:4">
      <c r="A24" s="1" t="s">
        <v>293</v>
      </c>
      <c r="B24" s="1" t="s">
        <v>294</v>
      </c>
      <c r="C24" s="1" t="s">
        <v>302</v>
      </c>
      <c r="D24" s="2" t="s">
        <v>303</v>
      </c>
    </row>
    <row r="25" spans="1:4">
      <c r="A25" s="2" t="s">
        <v>295</v>
      </c>
      <c r="B25" s="3">
        <v>0.4</v>
      </c>
      <c r="C25" s="2">
        <f>B21</f>
        <v>28000</v>
      </c>
      <c r="D25" s="2">
        <f t="shared" ref="D25:D28" si="0">C25*B25</f>
        <v>11200</v>
      </c>
    </row>
    <row r="26" spans="1:4">
      <c r="A26" s="2" t="s">
        <v>296</v>
      </c>
      <c r="B26" s="3">
        <v>0.3</v>
      </c>
      <c r="C26" s="2">
        <f>B21</f>
        <v>28000</v>
      </c>
      <c r="D26" s="2">
        <f t="shared" si="0"/>
        <v>8400</v>
      </c>
    </row>
    <row r="27" spans="1:4">
      <c r="A27" s="2" t="s">
        <v>297</v>
      </c>
      <c r="B27" s="3">
        <v>0.2</v>
      </c>
      <c r="C27" s="2">
        <f>B21</f>
        <v>28000</v>
      </c>
      <c r="D27" s="2">
        <f t="shared" si="0"/>
        <v>5600</v>
      </c>
    </row>
    <row r="28" spans="1:4">
      <c r="A28" s="2" t="s">
        <v>298</v>
      </c>
      <c r="B28" s="3">
        <v>0.1</v>
      </c>
      <c r="C28" s="2">
        <f>B21+B22*(2000-1500)</f>
        <v>38000</v>
      </c>
      <c r="D28" s="2">
        <f t="shared" si="0"/>
        <v>3800</v>
      </c>
    </row>
    <row r="29" spans="1:4">
      <c r="A29" s="2" t="s">
        <v>34</v>
      </c>
      <c r="B29" s="3">
        <v>1</v>
      </c>
      <c r="C29" s="2"/>
      <c r="D29" s="4">
        <f>SUM(D25:D28)</f>
        <v>29000</v>
      </c>
    </row>
    <row r="31" spans="1:1">
      <c r="A31" t="s">
        <v>306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任务1</vt:lpstr>
      <vt:lpstr>任务2</vt:lpstr>
      <vt:lpstr>任务3</vt:lpstr>
      <vt:lpstr>任务4</vt:lpstr>
      <vt:lpstr>任务4（1）</vt:lpstr>
      <vt:lpstr>任务5</vt:lpstr>
      <vt:lpstr>任务6</vt:lpstr>
      <vt:lpstr>任务7</vt:lpstr>
      <vt:lpstr>任务8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绿湖</cp:lastModifiedBy>
  <dcterms:created xsi:type="dcterms:W3CDTF">2019-12-05T08:18:00Z</dcterms:created>
  <dcterms:modified xsi:type="dcterms:W3CDTF">2023-08-25T03:10:40Z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B4DCE92307574230B6585EE674530E43_12</vt:lpwstr>
  </property>
</Properties>
</file>